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ml.chartshapes+xml"/>
  <Override PartName="/xl/charts/chart11.xml" ContentType="application/vnd.openxmlformats-officedocument.drawingml.chart+xml"/>
  <Override PartName="/xl/drawings/drawing14.xml" ContentType="application/vnd.openxmlformats-officedocument.drawingml.chartshapes+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5.xml" ContentType="application/vnd.openxmlformats-officedocument.drawing+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6.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dmw8f/Observing/LBTO/UVa_Proposals/2025A/2025_Feb24-28/"/>
    </mc:Choice>
  </mc:AlternateContent>
  <xr:revisionPtr revIDLastSave="0" documentId="13_ncr:1_{DA262A47-6FA3-7F44-A524-CE2400CCF4E6}" xr6:coauthVersionLast="47" xr6:coauthVersionMax="47" xr10:uidLastSave="{00000000-0000-0000-0000-000000000000}"/>
  <bookViews>
    <workbookView xWindow="2920" yWindow="500" windowWidth="25480" windowHeight="17160" activeTab="7" xr2:uid="{17F9AF0B-318D-AC4D-AECF-7402C8D21145}"/>
  </bookViews>
  <sheets>
    <sheet name="Instruc" sheetId="24" r:id="rId1"/>
    <sheet name="Notes" sheetId="26" r:id="rId2"/>
    <sheet name="MODS" sheetId="1" r:id="rId3"/>
    <sheet name="LUCI" sheetId="21" r:id="rId4"/>
    <sheet name="LBC" sheetId="22" r:id="rId5"/>
    <sheet name="PEPSI" sheetId="23" r:id="rId6"/>
    <sheet name="RA-Dec" sheetId="28" r:id="rId7"/>
    <sheet name="AtmDisp" sheetId="25" r:id="rId8"/>
    <sheet name="Calcs"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1" l="1"/>
  <c r="B23" i="25"/>
  <c r="AE4" i="28" l="1"/>
  <c r="AE5" i="28"/>
  <c r="AE6" i="28"/>
  <c r="AE7" i="28"/>
  <c r="AE8" i="28"/>
  <c r="AE9" i="28"/>
  <c r="AE10" i="28"/>
  <c r="AE11" i="28"/>
  <c r="AE12" i="28"/>
  <c r="AE13" i="28"/>
  <c r="AE14" i="28"/>
  <c r="AE15" i="28"/>
  <c r="AE16" i="28"/>
  <c r="AE17" i="28"/>
  <c r="AE18" i="28"/>
  <c r="AE19" i="28"/>
  <c r="AE20" i="28"/>
  <c r="AE21" i="28"/>
  <c r="AE22" i="28"/>
  <c r="AE23" i="28"/>
  <c r="AD4" i="28"/>
  <c r="AD5" i="28"/>
  <c r="AD6" i="28"/>
  <c r="AD7" i="28"/>
  <c r="AD8" i="28"/>
  <c r="AD9" i="28"/>
  <c r="AD10" i="28"/>
  <c r="AD11" i="28"/>
  <c r="AD12" i="28"/>
  <c r="AD13" i="28"/>
  <c r="AD14" i="28"/>
  <c r="AD15" i="28"/>
  <c r="AD16" i="28"/>
  <c r="AD17" i="28"/>
  <c r="AD18" i="28"/>
  <c r="AD19" i="28"/>
  <c r="AD20" i="28"/>
  <c r="AD21" i="28"/>
  <c r="AD22" i="28"/>
  <c r="AD23" i="28"/>
  <c r="AC4" i="28"/>
  <c r="AC5" i="28"/>
  <c r="AC6" i="28"/>
  <c r="AC7" i="28"/>
  <c r="AC8" i="28"/>
  <c r="AC9" i="28"/>
  <c r="AC10" i="28"/>
  <c r="AC11" i="28"/>
  <c r="AC12" i="28"/>
  <c r="AC13" i="28"/>
  <c r="AC14" i="28"/>
  <c r="AC15" i="28"/>
  <c r="AC16" i="28"/>
  <c r="AC17" i="28"/>
  <c r="AC18" i="28"/>
  <c r="AC19" i="28"/>
  <c r="AC20" i="28"/>
  <c r="AC21" i="28"/>
  <c r="AC22" i="28"/>
  <c r="AC23" i="28"/>
  <c r="AB5" i="28"/>
  <c r="AB6" i="28" s="1"/>
  <c r="AB7" i="28" s="1"/>
  <c r="AB8" i="28" s="1"/>
  <c r="AB9" i="28" s="1"/>
  <c r="AB10" i="28" s="1"/>
  <c r="AB11" i="28" s="1"/>
  <c r="AB12" i="28" s="1"/>
  <c r="AB13" i="28" s="1"/>
  <c r="AB14" i="28" s="1"/>
  <c r="AB15" i="28" s="1"/>
  <c r="AB16" i="28" s="1"/>
  <c r="AB17" i="28" s="1"/>
  <c r="AB18" i="28" s="1"/>
  <c r="AB19" i="28" s="1"/>
  <c r="AB20" i="28" s="1"/>
  <c r="AB21" i="28" s="1"/>
  <c r="AB22" i="28" s="1"/>
  <c r="AB23" i="28" s="1"/>
  <c r="Q6" i="28"/>
  <c r="Q7" i="28" s="1"/>
  <c r="Q8" i="28" s="1"/>
  <c r="Q9" i="28" s="1"/>
  <c r="Q10" i="28" s="1"/>
  <c r="Q11" i="28" s="1"/>
  <c r="Q12" i="28" s="1"/>
  <c r="Q13" i="28" s="1"/>
  <c r="Q14" i="28" s="1"/>
  <c r="Q15" i="28" s="1"/>
  <c r="Q16" i="28" s="1"/>
  <c r="Q17" i="28" s="1"/>
  <c r="Q18" i="28" s="1"/>
  <c r="Q19" i="28" s="1"/>
  <c r="Q20" i="28" s="1"/>
  <c r="Q21" i="28" s="1"/>
  <c r="Q22" i="28" s="1"/>
  <c r="Q23" i="28" s="1"/>
  <c r="Q24" i="28" s="1"/>
  <c r="Q25" i="28" s="1"/>
  <c r="Q26" i="28" s="1"/>
  <c r="Q27" i="28" s="1"/>
  <c r="Q28" i="28" s="1"/>
  <c r="Q29" i="28" s="1"/>
  <c r="Q30" i="28" s="1"/>
  <c r="Q31" i="28" s="1"/>
  <c r="Q32" i="28" s="1"/>
  <c r="Q33" i="28" s="1"/>
  <c r="Q34" i="28" s="1"/>
  <c r="Q35" i="28" s="1"/>
  <c r="Q36" i="28" s="1"/>
  <c r="Q37" i="28" s="1"/>
  <c r="Q38" i="28" s="1"/>
  <c r="Q39" i="28" s="1"/>
  <c r="Q40" i="28" s="1"/>
  <c r="Q41" i="28" s="1"/>
  <c r="Q42" i="28" s="1"/>
  <c r="Q43" i="28" s="1"/>
  <c r="Q44" i="28" s="1"/>
  <c r="Q45" i="28" s="1"/>
  <c r="Q46" i="28" s="1"/>
  <c r="Q47" i="28" s="1"/>
  <c r="Q48" i="28" s="1"/>
  <c r="Q49" i="28" s="1"/>
  <c r="Q50" i="28" s="1"/>
  <c r="Q51" i="28" s="1"/>
  <c r="Q52" i="28" s="1"/>
  <c r="Q53" i="28" s="1"/>
  <c r="Q54" i="28" s="1"/>
  <c r="Q55" i="28" s="1"/>
  <c r="Q56" i="28" s="1"/>
  <c r="Q57" i="28" s="1"/>
  <c r="Q58" i="28" s="1"/>
  <c r="Q59" i="28" s="1"/>
  <c r="Q60" i="28" s="1"/>
  <c r="Q61" i="28" s="1"/>
  <c r="Q62" i="28" s="1"/>
  <c r="Q63" i="28" s="1"/>
  <c r="Q64" i="28" s="1"/>
  <c r="Q65" i="28" s="1"/>
  <c r="Q66" i="28" s="1"/>
  <c r="Q67" i="28" s="1"/>
  <c r="Q68" i="28" s="1"/>
  <c r="Q69" i="28" s="1"/>
  <c r="Q70" i="28" s="1"/>
  <c r="Q71" i="28" s="1"/>
  <c r="Q72" i="28" s="1"/>
  <c r="Q73" i="28" s="1"/>
  <c r="Q74" i="28" s="1"/>
  <c r="Q75" i="28" s="1"/>
  <c r="Q76" i="28" s="1"/>
  <c r="Q77" i="28" s="1"/>
  <c r="B16" i="28"/>
  <c r="B20" i="28" s="1"/>
  <c r="Z13" i="28" s="1"/>
  <c r="B14" i="28"/>
  <c r="A28" i="28" s="1"/>
  <c r="B7" i="1"/>
  <c r="W68" i="28" l="1"/>
  <c r="W28" i="28"/>
  <c r="Z76" i="28"/>
  <c r="Z60" i="28"/>
  <c r="Z28" i="28"/>
  <c r="W67" i="28"/>
  <c r="W43" i="28"/>
  <c r="W19" i="28"/>
  <c r="Z67" i="28"/>
  <c r="Z51" i="28"/>
  <c r="Z35" i="28"/>
  <c r="W74" i="28"/>
  <c r="W34" i="28"/>
  <c r="Z66" i="28"/>
  <c r="Z58" i="28"/>
  <c r="Z10" i="28"/>
  <c r="W73" i="28"/>
  <c r="W65" i="28"/>
  <c r="W57" i="28"/>
  <c r="W49" i="28"/>
  <c r="W41" i="28"/>
  <c r="W33" i="28"/>
  <c r="W25" i="28"/>
  <c r="W17" i="28"/>
  <c r="W9" i="28"/>
  <c r="Z73" i="28"/>
  <c r="Z65" i="28"/>
  <c r="Z57" i="28"/>
  <c r="Z49" i="28"/>
  <c r="Z41" i="28"/>
  <c r="Z33" i="28"/>
  <c r="Z25" i="28"/>
  <c r="Z17" i="28"/>
  <c r="Z9" i="28"/>
  <c r="W60" i="28"/>
  <c r="W36" i="28"/>
  <c r="Z68" i="28"/>
  <c r="Z52" i="28"/>
  <c r="Z44" i="28"/>
  <c r="W75" i="28"/>
  <c r="W27" i="28"/>
  <c r="Z59" i="28"/>
  <c r="Z27" i="28"/>
  <c r="W42" i="28"/>
  <c r="W26" i="28"/>
  <c r="Z74" i="28"/>
  <c r="Z50" i="28"/>
  <c r="Z18" i="28"/>
  <c r="W72" i="28"/>
  <c r="W64" i="28"/>
  <c r="W56" i="28"/>
  <c r="W48" i="28"/>
  <c r="W40" i="28"/>
  <c r="W32" i="28"/>
  <c r="W24" i="28"/>
  <c r="W16" i="28"/>
  <c r="W8" i="28"/>
  <c r="Z72" i="28"/>
  <c r="Z64" i="28"/>
  <c r="Z56" i="28"/>
  <c r="Z48" i="28"/>
  <c r="Z40" i="28"/>
  <c r="Z32" i="28"/>
  <c r="Z24" i="28"/>
  <c r="Z16" i="28"/>
  <c r="Z8" i="28"/>
  <c r="W44" i="28"/>
  <c r="Z36" i="28"/>
  <c r="W59" i="28"/>
  <c r="Z43" i="28"/>
  <c r="W50" i="28"/>
  <c r="W18" i="28"/>
  <c r="Z34" i="28"/>
  <c r="W71" i="28"/>
  <c r="W63" i="28"/>
  <c r="W55" i="28"/>
  <c r="W47" i="28"/>
  <c r="W39" i="28"/>
  <c r="W31" i="28"/>
  <c r="W23" i="28"/>
  <c r="W15" i="28"/>
  <c r="W7" i="28"/>
  <c r="Z71" i="28"/>
  <c r="Z63" i="28"/>
  <c r="Z55" i="28"/>
  <c r="Z47" i="28"/>
  <c r="Z39" i="28"/>
  <c r="Z31" i="28"/>
  <c r="Z23" i="28"/>
  <c r="Z15" i="28"/>
  <c r="Z7" i="28"/>
  <c r="W52" i="28"/>
  <c r="W12" i="28"/>
  <c r="Z20" i="28"/>
  <c r="W51" i="28"/>
  <c r="W11" i="28"/>
  <c r="Z19" i="28"/>
  <c r="W58" i="28"/>
  <c r="Z42" i="28"/>
  <c r="W5" i="28"/>
  <c r="W70" i="28"/>
  <c r="W62" i="28"/>
  <c r="W54" i="28"/>
  <c r="W46" i="28"/>
  <c r="W38" i="28"/>
  <c r="W30" i="28"/>
  <c r="W22" i="28"/>
  <c r="W14" i="28"/>
  <c r="W6" i="28"/>
  <c r="Z5" i="28"/>
  <c r="Z70" i="28"/>
  <c r="Z62" i="28"/>
  <c r="Z54" i="28"/>
  <c r="Z46" i="28"/>
  <c r="Z38" i="28"/>
  <c r="Z30" i="28"/>
  <c r="Z22" i="28"/>
  <c r="Z14" i="28"/>
  <c r="Z6" i="28"/>
  <c r="W76" i="28"/>
  <c r="W20" i="28"/>
  <c r="Z12" i="28"/>
  <c r="W35" i="28"/>
  <c r="Z75" i="28"/>
  <c r="Z11" i="28"/>
  <c r="W66" i="28"/>
  <c r="W10" i="28"/>
  <c r="Z26" i="28"/>
  <c r="W77" i="28"/>
  <c r="W69" i="28"/>
  <c r="W61" i="28"/>
  <c r="W53" i="28"/>
  <c r="W45" i="28"/>
  <c r="W37" i="28"/>
  <c r="W29" i="28"/>
  <c r="W21" i="28"/>
  <c r="W13" i="28"/>
  <c r="Z77" i="28"/>
  <c r="Z69" i="28"/>
  <c r="Z61" i="28"/>
  <c r="Z53" i="28"/>
  <c r="Z45" i="28"/>
  <c r="Z37" i="28"/>
  <c r="Z29" i="28"/>
  <c r="Z21" i="28"/>
  <c r="T6" i="28"/>
  <c r="T14" i="28"/>
  <c r="T22" i="28"/>
  <c r="T30" i="28"/>
  <c r="T38" i="28"/>
  <c r="T46" i="28"/>
  <c r="T54" i="28"/>
  <c r="T62" i="28"/>
  <c r="T70" i="28"/>
  <c r="T5" i="28"/>
  <c r="T43" i="28"/>
  <c r="T7" i="28"/>
  <c r="T15" i="28"/>
  <c r="T23" i="28"/>
  <c r="T31" i="28"/>
  <c r="T39" i="28"/>
  <c r="T47" i="28"/>
  <c r="T55" i="28"/>
  <c r="T63" i="28"/>
  <c r="T71" i="28"/>
  <c r="T51" i="28"/>
  <c r="T8" i="28"/>
  <c r="T16" i="28"/>
  <c r="T24" i="28"/>
  <c r="T32" i="28"/>
  <c r="T40" i="28"/>
  <c r="T48" i="28"/>
  <c r="T56" i="28"/>
  <c r="T64" i="28"/>
  <c r="T72" i="28"/>
  <c r="T35" i="28"/>
  <c r="T9" i="28"/>
  <c r="T17" i="28"/>
  <c r="T25" i="28"/>
  <c r="T33" i="28"/>
  <c r="T41" i="28"/>
  <c r="T49" i="28"/>
  <c r="T57" i="28"/>
  <c r="T65" i="28"/>
  <c r="T73" i="28"/>
  <c r="T27" i="28"/>
  <c r="T10" i="28"/>
  <c r="T18" i="28"/>
  <c r="T26" i="28"/>
  <c r="T34" i="28"/>
  <c r="T42" i="28"/>
  <c r="T50" i="28"/>
  <c r="T58" i="28"/>
  <c r="T66" i="28"/>
  <c r="T74" i="28"/>
  <c r="T19" i="28"/>
  <c r="T11" i="28"/>
  <c r="T59" i="28"/>
  <c r="T67" i="28"/>
  <c r="T75" i="28"/>
  <c r="T12" i="28"/>
  <c r="T20" i="28"/>
  <c r="T28" i="28"/>
  <c r="T36" i="28"/>
  <c r="T44" i="28"/>
  <c r="T52" i="28"/>
  <c r="T60" i="28"/>
  <c r="T68" i="28"/>
  <c r="T76" i="28"/>
  <c r="T13" i="28"/>
  <c r="T21" i="28"/>
  <c r="T29" i="28"/>
  <c r="T37" i="28"/>
  <c r="T45" i="28"/>
  <c r="T53" i="28"/>
  <c r="T61" i="28"/>
  <c r="T69" i="28"/>
  <c r="T77" i="28"/>
  <c r="AC10" i="21" l="1"/>
  <c r="AC8" i="21"/>
  <c r="AC7" i="21"/>
  <c r="B24" i="25"/>
  <c r="AW21" i="1"/>
  <c r="AV20" i="1"/>
  <c r="AV5" i="1"/>
  <c r="AM24" i="23"/>
  <c r="AL24" i="23"/>
  <c r="AM23" i="23"/>
  <c r="AL23" i="23"/>
  <c r="AM22" i="23"/>
  <c r="AL22" i="23"/>
  <c r="AM21" i="23"/>
  <c r="AL21" i="23"/>
  <c r="AM20" i="23"/>
  <c r="AL20" i="23"/>
  <c r="AM19" i="23"/>
  <c r="AL19" i="23"/>
  <c r="AM18" i="23"/>
  <c r="AL18" i="23"/>
  <c r="AM17" i="23"/>
  <c r="AL17" i="23"/>
  <c r="AM16" i="23"/>
  <c r="AL16" i="23"/>
  <c r="AM15" i="23"/>
  <c r="AL15" i="23"/>
  <c r="AM14" i="23"/>
  <c r="AL14" i="23"/>
  <c r="AM13" i="23"/>
  <c r="AL13" i="23"/>
  <c r="AM12" i="23"/>
  <c r="AL12" i="23"/>
  <c r="AM11" i="23"/>
  <c r="AL11" i="23"/>
  <c r="AM10" i="23"/>
  <c r="AL10" i="23"/>
  <c r="AM9" i="23"/>
  <c r="AL9" i="23"/>
  <c r="AM8" i="23"/>
  <c r="AL8" i="23"/>
  <c r="AM7" i="23"/>
  <c r="AL7" i="23"/>
  <c r="AM6" i="23"/>
  <c r="AL6" i="23"/>
  <c r="AM5" i="23"/>
  <c r="AL5" i="23"/>
  <c r="AM24" i="22"/>
  <c r="AL24" i="22"/>
  <c r="AM23" i="22"/>
  <c r="AL23" i="22"/>
  <c r="AM22" i="22"/>
  <c r="AL22" i="22"/>
  <c r="AM21" i="22"/>
  <c r="AL21" i="22"/>
  <c r="AM20" i="22"/>
  <c r="AL20" i="22"/>
  <c r="AM19" i="22"/>
  <c r="AL19" i="22"/>
  <c r="AM18" i="22"/>
  <c r="AL18" i="22"/>
  <c r="AM17" i="22"/>
  <c r="AL17" i="22"/>
  <c r="AM16" i="22"/>
  <c r="AL16" i="22"/>
  <c r="AM15" i="22"/>
  <c r="AL15" i="22"/>
  <c r="AM14" i="22"/>
  <c r="AL14" i="22"/>
  <c r="AM13" i="22"/>
  <c r="AL13" i="22"/>
  <c r="AM12" i="22"/>
  <c r="AL12" i="22"/>
  <c r="AM11" i="22"/>
  <c r="AL11" i="22"/>
  <c r="AM10" i="22"/>
  <c r="AL10" i="22"/>
  <c r="AM9" i="22"/>
  <c r="AL9" i="22"/>
  <c r="AM8" i="22"/>
  <c r="AL8" i="22"/>
  <c r="AM7" i="22"/>
  <c r="AL7" i="22"/>
  <c r="AM6" i="22"/>
  <c r="AL6" i="22"/>
  <c r="AL5" i="22"/>
  <c r="AM6" i="21"/>
  <c r="AM7" i="21"/>
  <c r="AM8" i="21"/>
  <c r="AM9" i="21"/>
  <c r="AM10" i="21"/>
  <c r="AM11" i="21"/>
  <c r="AM12" i="21"/>
  <c r="AM13" i="21"/>
  <c r="AM14" i="21"/>
  <c r="AM15" i="21"/>
  <c r="AM16" i="21"/>
  <c r="AM17" i="21"/>
  <c r="AM18" i="21"/>
  <c r="AM19" i="21"/>
  <c r="AM20" i="21"/>
  <c r="AM21" i="21"/>
  <c r="AM22" i="21"/>
  <c r="AM23" i="21"/>
  <c r="AM24" i="21"/>
  <c r="AM5" i="21"/>
  <c r="AM5" i="1"/>
  <c r="AL6" i="21"/>
  <c r="AL7" i="21"/>
  <c r="AL8" i="21"/>
  <c r="AL9" i="21"/>
  <c r="AL10" i="21"/>
  <c r="AL11" i="21"/>
  <c r="AL12" i="21"/>
  <c r="AL13" i="21"/>
  <c r="AL14" i="21"/>
  <c r="AL15" i="21"/>
  <c r="AL16" i="21"/>
  <c r="AL17" i="21"/>
  <c r="AL18" i="21"/>
  <c r="AL19" i="21"/>
  <c r="AL20" i="21"/>
  <c r="AL21" i="21"/>
  <c r="AL22" i="21"/>
  <c r="AL23" i="21"/>
  <c r="AL24" i="21"/>
  <c r="AL5" i="21"/>
  <c r="AL5" i="1"/>
  <c r="AM6" i="1"/>
  <c r="AM7" i="1"/>
  <c r="AM8" i="1"/>
  <c r="AM9" i="1"/>
  <c r="AM10" i="1"/>
  <c r="AM11" i="1"/>
  <c r="AM12" i="1"/>
  <c r="AM13" i="1"/>
  <c r="AM14" i="1"/>
  <c r="AM15" i="1"/>
  <c r="AM16" i="1"/>
  <c r="AM17" i="1"/>
  <c r="AM18" i="1"/>
  <c r="AM19" i="1"/>
  <c r="AL6" i="1"/>
  <c r="AL7" i="1"/>
  <c r="AL8" i="1"/>
  <c r="AL9" i="1"/>
  <c r="AL10" i="1"/>
  <c r="AL11" i="1"/>
  <c r="AL12" i="1"/>
  <c r="AL13" i="1"/>
  <c r="AL14" i="1"/>
  <c r="AL15" i="1"/>
  <c r="AL16" i="1"/>
  <c r="AL17" i="1"/>
  <c r="AL18" i="1"/>
  <c r="AL19" i="1"/>
  <c r="AL20" i="1"/>
  <c r="AL21" i="1"/>
  <c r="AL22" i="1"/>
  <c r="AL23" i="1"/>
  <c r="AL24" i="1"/>
  <c r="AW6" i="23" l="1"/>
  <c r="AW7" i="23"/>
  <c r="AW8" i="23"/>
  <c r="AW9" i="23"/>
  <c r="AW10" i="23"/>
  <c r="AW11" i="23"/>
  <c r="AW12" i="23"/>
  <c r="AW13" i="23"/>
  <c r="AW14" i="23"/>
  <c r="AW15" i="23"/>
  <c r="AW16" i="23"/>
  <c r="AW17" i="23"/>
  <c r="AW18" i="23"/>
  <c r="AW19" i="23"/>
  <c r="AW20" i="23"/>
  <c r="AW21" i="23"/>
  <c r="AW22" i="23"/>
  <c r="AW23" i="23"/>
  <c r="AW24" i="23"/>
  <c r="AW5" i="23"/>
  <c r="AV6" i="23"/>
  <c r="AV7" i="23"/>
  <c r="AV8" i="23"/>
  <c r="AV9" i="23"/>
  <c r="AV10" i="23"/>
  <c r="AV11" i="23"/>
  <c r="AV12" i="23"/>
  <c r="AV13" i="23"/>
  <c r="AV14" i="23"/>
  <c r="AV15" i="23"/>
  <c r="AV16" i="23"/>
  <c r="AV17" i="23"/>
  <c r="AV18" i="23"/>
  <c r="AV19" i="23"/>
  <c r="AV20" i="23"/>
  <c r="AV21" i="23"/>
  <c r="AV22" i="23"/>
  <c r="AV23" i="23"/>
  <c r="AV24" i="23"/>
  <c r="AV5" i="23"/>
  <c r="AW6" i="22"/>
  <c r="AW7" i="22"/>
  <c r="AW8" i="22"/>
  <c r="AW9" i="22"/>
  <c r="AW10" i="22"/>
  <c r="AW11" i="22"/>
  <c r="AW12" i="22"/>
  <c r="AW13" i="22"/>
  <c r="AW14" i="22"/>
  <c r="AW15" i="22"/>
  <c r="AW16" i="22"/>
  <c r="AW17" i="22"/>
  <c r="AW18" i="22"/>
  <c r="AW19" i="22"/>
  <c r="AW20" i="22"/>
  <c r="AW21" i="22"/>
  <c r="AW22" i="22"/>
  <c r="AW23" i="22"/>
  <c r="AW24" i="22"/>
  <c r="AW5" i="22"/>
  <c r="AM5" i="22" s="1"/>
  <c r="AV6" i="22"/>
  <c r="AV7" i="22"/>
  <c r="AV8" i="22"/>
  <c r="AV9" i="22"/>
  <c r="AV10" i="22"/>
  <c r="AV11" i="22"/>
  <c r="AV12" i="22"/>
  <c r="AV13" i="22"/>
  <c r="AV14" i="22"/>
  <c r="AV15" i="22"/>
  <c r="AV16" i="22"/>
  <c r="AV17" i="22"/>
  <c r="AV18" i="22"/>
  <c r="AV19" i="22"/>
  <c r="AV20" i="22"/>
  <c r="AV21" i="22"/>
  <c r="AV22" i="22"/>
  <c r="AV23" i="22"/>
  <c r="AV24" i="22"/>
  <c r="AV5" i="22"/>
  <c r="AW6" i="21"/>
  <c r="AW7" i="21"/>
  <c r="AW8" i="21"/>
  <c r="AW9" i="21"/>
  <c r="AW10" i="21"/>
  <c r="AW11" i="21"/>
  <c r="AW12" i="21"/>
  <c r="AW13" i="21"/>
  <c r="AW14" i="21"/>
  <c r="AW15" i="21"/>
  <c r="AW16" i="21"/>
  <c r="AW17" i="21"/>
  <c r="AW18" i="21"/>
  <c r="AW19" i="21"/>
  <c r="AW20" i="21"/>
  <c r="AW21" i="21"/>
  <c r="AW22" i="21"/>
  <c r="AW23" i="21"/>
  <c r="AW24" i="21"/>
  <c r="AW5" i="21"/>
  <c r="AV6" i="21"/>
  <c r="AV7" i="21"/>
  <c r="AV8" i="21"/>
  <c r="AV9" i="21"/>
  <c r="AV10" i="21"/>
  <c r="AV11" i="21"/>
  <c r="AV12" i="21"/>
  <c r="AV13" i="21"/>
  <c r="AV14" i="21"/>
  <c r="AV15" i="21"/>
  <c r="AV16" i="21"/>
  <c r="AV17" i="21"/>
  <c r="AV18" i="21"/>
  <c r="AV19" i="21"/>
  <c r="AV20" i="21"/>
  <c r="AV21" i="21"/>
  <c r="AV22" i="21"/>
  <c r="AV23" i="21"/>
  <c r="AV24" i="21"/>
  <c r="AV5" i="21"/>
  <c r="AW6" i="1" l="1"/>
  <c r="AW7" i="1"/>
  <c r="AW8" i="1"/>
  <c r="AW9" i="1"/>
  <c r="AW10" i="1"/>
  <c r="AW11" i="1"/>
  <c r="AW12" i="1"/>
  <c r="AW13" i="1"/>
  <c r="AW14" i="1"/>
  <c r="AW15" i="1"/>
  <c r="AW16" i="1"/>
  <c r="AW17" i="1"/>
  <c r="AW18" i="1"/>
  <c r="AW19" i="1"/>
  <c r="AW20" i="1"/>
  <c r="AM20" i="1" s="1"/>
  <c r="AM21" i="1"/>
  <c r="AW22" i="1"/>
  <c r="AM22" i="1" s="1"/>
  <c r="AW23" i="1"/>
  <c r="AM23" i="1" s="1"/>
  <c r="AW24" i="1"/>
  <c r="AM24" i="1" s="1"/>
  <c r="AW5" i="1"/>
  <c r="AV6" i="1"/>
  <c r="AV7" i="1"/>
  <c r="AV8" i="1"/>
  <c r="AV9" i="1"/>
  <c r="AV10" i="1"/>
  <c r="AV11" i="1"/>
  <c r="AV12" i="1"/>
  <c r="AV13" i="1"/>
  <c r="AV14" i="1"/>
  <c r="AV15" i="1"/>
  <c r="AV16" i="1"/>
  <c r="AV17" i="1"/>
  <c r="AV18" i="1"/>
  <c r="AV19" i="1"/>
  <c r="AV21" i="1"/>
  <c r="AV22" i="1"/>
  <c r="AV23" i="1"/>
  <c r="AV24" i="1"/>
  <c r="C81" i="26" l="1"/>
  <c r="C80" i="26"/>
  <c r="E81" i="26"/>
  <c r="E82" i="26"/>
  <c r="E83" i="26"/>
  <c r="E84" i="26"/>
  <c r="E85" i="26"/>
  <c r="E86" i="26"/>
  <c r="E87" i="26"/>
  <c r="E88" i="26"/>
  <c r="E89" i="26"/>
  <c r="E90" i="26"/>
  <c r="E91" i="26"/>
  <c r="E92" i="26"/>
  <c r="E93" i="26"/>
  <c r="E94" i="26"/>
  <c r="E95" i="26"/>
  <c r="E96" i="26"/>
  <c r="E97" i="26"/>
  <c r="E98" i="26"/>
  <c r="E99" i="26"/>
  <c r="D81" i="26"/>
  <c r="D82" i="26"/>
  <c r="D83" i="26"/>
  <c r="D84" i="26"/>
  <c r="D85" i="26"/>
  <c r="D86" i="26"/>
  <c r="D87" i="26"/>
  <c r="D88" i="26"/>
  <c r="D89" i="26"/>
  <c r="D90" i="26"/>
  <c r="D91" i="26"/>
  <c r="D92" i="26"/>
  <c r="D93" i="26"/>
  <c r="D94" i="26"/>
  <c r="D95" i="26"/>
  <c r="D96" i="26"/>
  <c r="D97" i="26"/>
  <c r="D98" i="26"/>
  <c r="D99" i="26"/>
  <c r="D80" i="26"/>
  <c r="C82" i="26"/>
  <c r="C83" i="26"/>
  <c r="C84" i="26"/>
  <c r="C85" i="26"/>
  <c r="C86" i="26"/>
  <c r="C87" i="26"/>
  <c r="C88" i="26"/>
  <c r="C89" i="26"/>
  <c r="C90" i="26"/>
  <c r="C91" i="26"/>
  <c r="C92" i="26"/>
  <c r="C93" i="26"/>
  <c r="C94" i="26"/>
  <c r="C95" i="26"/>
  <c r="C96" i="26"/>
  <c r="C97" i="26"/>
  <c r="C98" i="26"/>
  <c r="C99" i="26"/>
  <c r="B81" i="26"/>
  <c r="B82" i="26"/>
  <c r="B83" i="26"/>
  <c r="B84" i="26"/>
  <c r="B85" i="26"/>
  <c r="B86" i="26"/>
  <c r="B87" i="26"/>
  <c r="B88" i="26"/>
  <c r="B89" i="26"/>
  <c r="B90" i="26"/>
  <c r="B91" i="26"/>
  <c r="B92" i="26"/>
  <c r="B93" i="26"/>
  <c r="B94" i="26"/>
  <c r="B95" i="26"/>
  <c r="B96" i="26"/>
  <c r="B97" i="26"/>
  <c r="B98" i="26"/>
  <c r="B99" i="26"/>
  <c r="B80" i="26"/>
  <c r="E57" i="26"/>
  <c r="E58" i="26"/>
  <c r="E59" i="26"/>
  <c r="E60" i="26"/>
  <c r="E62" i="26"/>
  <c r="E63" i="26"/>
  <c r="E64" i="26"/>
  <c r="E65" i="26"/>
  <c r="E66" i="26"/>
  <c r="E67" i="26"/>
  <c r="E68" i="26"/>
  <c r="E69" i="26"/>
  <c r="E70" i="26"/>
  <c r="E71" i="26"/>
  <c r="E72" i="26"/>
  <c r="E73" i="26"/>
  <c r="E74" i="26"/>
  <c r="E75" i="26"/>
  <c r="E56" i="26"/>
  <c r="D57" i="26"/>
  <c r="D58" i="26"/>
  <c r="D59" i="26"/>
  <c r="D60" i="26"/>
  <c r="D61" i="26"/>
  <c r="D62" i="26"/>
  <c r="D63" i="26"/>
  <c r="D64" i="26"/>
  <c r="D65" i="26"/>
  <c r="D66" i="26"/>
  <c r="D67" i="26"/>
  <c r="D68" i="26"/>
  <c r="D69" i="26"/>
  <c r="D70" i="26"/>
  <c r="D71" i="26"/>
  <c r="D72" i="26"/>
  <c r="D73" i="26"/>
  <c r="D74" i="26"/>
  <c r="D75" i="26"/>
  <c r="D56" i="26"/>
  <c r="C57" i="26"/>
  <c r="C58" i="26"/>
  <c r="C59" i="26"/>
  <c r="C60" i="26"/>
  <c r="C61" i="26"/>
  <c r="C62" i="26"/>
  <c r="C63" i="26"/>
  <c r="C64" i="26"/>
  <c r="C65" i="26"/>
  <c r="C66" i="26"/>
  <c r="C67" i="26"/>
  <c r="C68" i="26"/>
  <c r="C69" i="26"/>
  <c r="C70" i="26"/>
  <c r="C71" i="26"/>
  <c r="C72" i="26"/>
  <c r="C73" i="26"/>
  <c r="C74" i="26"/>
  <c r="C75" i="26"/>
  <c r="C56" i="26"/>
  <c r="B57" i="26"/>
  <c r="B58" i="26"/>
  <c r="B59" i="26"/>
  <c r="B60" i="26"/>
  <c r="B61" i="26"/>
  <c r="B62" i="26"/>
  <c r="B63" i="26"/>
  <c r="B64" i="26"/>
  <c r="B65" i="26"/>
  <c r="B66" i="26"/>
  <c r="B67" i="26"/>
  <c r="B68" i="26"/>
  <c r="B69" i="26"/>
  <c r="B70" i="26"/>
  <c r="B71" i="26"/>
  <c r="B72" i="26"/>
  <c r="B73" i="26"/>
  <c r="B74" i="26"/>
  <c r="B75" i="26"/>
  <c r="B56" i="26"/>
  <c r="B33" i="26"/>
  <c r="B34" i="26"/>
  <c r="B35" i="26"/>
  <c r="B36" i="26"/>
  <c r="B37" i="26"/>
  <c r="B38" i="26"/>
  <c r="B39" i="26"/>
  <c r="B40" i="26"/>
  <c r="B41" i="26"/>
  <c r="B42" i="26"/>
  <c r="B43" i="26"/>
  <c r="B44" i="26"/>
  <c r="B45" i="26"/>
  <c r="B46" i="26"/>
  <c r="B47" i="26"/>
  <c r="B48" i="26"/>
  <c r="B49" i="26"/>
  <c r="B50" i="26"/>
  <c r="B51" i="26"/>
  <c r="B32" i="26"/>
  <c r="E33" i="26"/>
  <c r="E34" i="26"/>
  <c r="E35" i="26"/>
  <c r="E36" i="26"/>
  <c r="E37" i="26"/>
  <c r="E38" i="26"/>
  <c r="E39" i="26"/>
  <c r="E40" i="26"/>
  <c r="E41" i="26"/>
  <c r="E42" i="26"/>
  <c r="E43" i="26"/>
  <c r="E44" i="26"/>
  <c r="E45" i="26"/>
  <c r="E46" i="26"/>
  <c r="E47" i="26"/>
  <c r="E48" i="26"/>
  <c r="E49" i="26"/>
  <c r="E50" i="26"/>
  <c r="E51" i="26"/>
  <c r="E32" i="26"/>
  <c r="D33" i="26"/>
  <c r="D34" i="26"/>
  <c r="D35" i="26"/>
  <c r="D36" i="26"/>
  <c r="D37" i="26"/>
  <c r="D38" i="26"/>
  <c r="D39" i="26"/>
  <c r="D40" i="26"/>
  <c r="D41" i="26"/>
  <c r="D42" i="26"/>
  <c r="D43" i="26"/>
  <c r="D44" i="26"/>
  <c r="D45" i="26"/>
  <c r="D46" i="26"/>
  <c r="D47" i="26"/>
  <c r="D48" i="26"/>
  <c r="D49" i="26"/>
  <c r="D50" i="26"/>
  <c r="D51" i="26"/>
  <c r="D32" i="26"/>
  <c r="C33" i="26"/>
  <c r="C34" i="26"/>
  <c r="C35" i="26"/>
  <c r="C36" i="26"/>
  <c r="C37" i="26"/>
  <c r="C38" i="26"/>
  <c r="C39" i="26"/>
  <c r="C40" i="26"/>
  <c r="C41" i="26"/>
  <c r="C42" i="26"/>
  <c r="C43" i="26"/>
  <c r="C44" i="26"/>
  <c r="C45" i="26"/>
  <c r="C46" i="26"/>
  <c r="C47" i="26"/>
  <c r="C48" i="26"/>
  <c r="C49" i="26"/>
  <c r="C50" i="26"/>
  <c r="C51" i="26"/>
  <c r="C32" i="26"/>
  <c r="E9" i="26"/>
  <c r="E10" i="26"/>
  <c r="E11" i="26"/>
  <c r="E12" i="26"/>
  <c r="E13" i="26"/>
  <c r="E14" i="26"/>
  <c r="E15" i="26"/>
  <c r="E16" i="26"/>
  <c r="E17" i="26"/>
  <c r="E18" i="26"/>
  <c r="E19" i="26"/>
  <c r="E20" i="26"/>
  <c r="E21" i="26"/>
  <c r="E22" i="26"/>
  <c r="E23" i="26"/>
  <c r="E24" i="26"/>
  <c r="E25" i="26"/>
  <c r="E26" i="26"/>
  <c r="E27" i="26"/>
  <c r="E8" i="26"/>
  <c r="D9" i="26"/>
  <c r="D10" i="26"/>
  <c r="D11" i="26"/>
  <c r="D12" i="26"/>
  <c r="D13" i="26"/>
  <c r="D14" i="26"/>
  <c r="D15" i="26"/>
  <c r="D16" i="26"/>
  <c r="D17" i="26"/>
  <c r="D18" i="26"/>
  <c r="D19" i="26"/>
  <c r="D20" i="26"/>
  <c r="D21" i="26"/>
  <c r="D22" i="26"/>
  <c r="D8" i="26"/>
  <c r="C9" i="26"/>
  <c r="C10" i="26"/>
  <c r="C11" i="26"/>
  <c r="C12" i="26"/>
  <c r="C13" i="26"/>
  <c r="C14" i="26"/>
  <c r="C15" i="26"/>
  <c r="C16" i="26"/>
  <c r="C17" i="26"/>
  <c r="C18" i="26"/>
  <c r="C19" i="26"/>
  <c r="C20" i="26"/>
  <c r="C21" i="26"/>
  <c r="C22" i="26"/>
  <c r="C8" i="26"/>
  <c r="B9" i="26"/>
  <c r="B10" i="26"/>
  <c r="B11" i="26"/>
  <c r="B12" i="26"/>
  <c r="B13" i="26"/>
  <c r="B14" i="26"/>
  <c r="B15" i="26"/>
  <c r="B16" i="26"/>
  <c r="B17" i="26"/>
  <c r="B18" i="26"/>
  <c r="B19" i="26"/>
  <c r="B20" i="26"/>
  <c r="B21" i="26"/>
  <c r="B22" i="26"/>
  <c r="B23" i="26"/>
  <c r="B24" i="26"/>
  <c r="B25" i="26"/>
  <c r="B26" i="26"/>
  <c r="B27" i="26"/>
  <c r="B8" i="26"/>
  <c r="AH48" i="25"/>
  <c r="AH47" i="25"/>
  <c r="AF48" i="25"/>
  <c r="AG48" i="25"/>
  <c r="AG47" i="25"/>
  <c r="AF47" i="25"/>
  <c r="AG44" i="25"/>
  <c r="AF44" i="25"/>
  <c r="AL41" i="25" l="1"/>
  <c r="AL42" i="25" s="1"/>
  <c r="AL43" i="25" s="1"/>
  <c r="AL33" i="25"/>
  <c r="AL34" i="25" s="1"/>
  <c r="AL35" i="25" s="1"/>
  <c r="AL36" i="25" s="1"/>
  <c r="AL37" i="25" s="1"/>
  <c r="AL38" i="25" s="1"/>
  <c r="AJ33" i="25"/>
  <c r="AJ34" i="25" s="1"/>
  <c r="AJ35" i="25" s="1"/>
  <c r="AJ36" i="25" s="1"/>
  <c r="AJ37" i="25" s="1"/>
  <c r="AJ38" i="25" s="1"/>
  <c r="AH42" i="25"/>
  <c r="AH41" i="25"/>
  <c r="AG42" i="25"/>
  <c r="AF42" i="25"/>
  <c r="AH39" i="25"/>
  <c r="AH38" i="25"/>
  <c r="AG39" i="25"/>
  <c r="AF39" i="25"/>
  <c r="AG41" i="25"/>
  <c r="AF41" i="25"/>
  <c r="AG38" i="25"/>
  <c r="AF38" i="25"/>
  <c r="AG8" i="25"/>
  <c r="AE16" i="25"/>
  <c r="AE17" i="25" s="1"/>
  <c r="AF34" i="25"/>
  <c r="AF33" i="25"/>
  <c r="AF32" i="25"/>
  <c r="AF31" i="25"/>
  <c r="AF11" i="25"/>
  <c r="AG11" i="25" s="1"/>
  <c r="AF10" i="25"/>
  <c r="AG10" i="25" s="1"/>
  <c r="AF9" i="25"/>
  <c r="AG9" i="25" s="1"/>
  <c r="AF8" i="25"/>
  <c r="AF7" i="25"/>
  <c r="AG7" i="25" s="1"/>
  <c r="AF6" i="25"/>
  <c r="AG6" i="25" s="1"/>
  <c r="AF5" i="25"/>
  <c r="AG5" i="25" s="1"/>
  <c r="AE18" i="25" l="1"/>
  <c r="B26" i="25"/>
  <c r="AE19" i="25" l="1"/>
  <c r="AE8" i="25"/>
  <c r="AE9" i="25"/>
  <c r="AE10" i="25"/>
  <c r="AE6" i="25"/>
  <c r="AE7" i="25"/>
  <c r="AE11" i="25"/>
  <c r="AE5" i="25"/>
  <c r="P5" i="25"/>
  <c r="B22" i="25"/>
  <c r="B20" i="25"/>
  <c r="B28" i="25"/>
  <c r="AE20" i="25" l="1"/>
  <c r="Q5" i="25"/>
  <c r="AE21" i="25" l="1"/>
  <c r="AE22" i="25" l="1"/>
  <c r="AE23" i="25" l="1"/>
  <c r="AE24" i="25" l="1"/>
  <c r="AE25" i="25" l="1"/>
  <c r="AE26" i="25" l="1"/>
  <c r="AE27" i="25" l="1"/>
  <c r="B3" i="6" l="1"/>
  <c r="B4" i="6"/>
  <c r="B9" i="6"/>
  <c r="B8" i="6"/>
  <c r="B7" i="6"/>
  <c r="B6" i="6"/>
  <c r="AN22" i="23"/>
  <c r="AN23" i="23"/>
  <c r="AN24" i="23"/>
  <c r="AN13" i="22"/>
  <c r="AN14" i="22"/>
  <c r="AN15" i="22"/>
  <c r="AN16" i="22"/>
  <c r="AN17" i="22"/>
  <c r="AN13" i="21"/>
  <c r="AN14" i="21"/>
  <c r="AN15" i="21"/>
  <c r="AN16" i="21"/>
  <c r="AN17" i="21"/>
  <c r="AN18" i="21"/>
  <c r="AN19" i="21"/>
  <c r="AN20" i="21"/>
  <c r="AN21" i="21"/>
  <c r="AN22" i="21"/>
  <c r="AN23" i="21"/>
  <c r="AN24" i="21"/>
  <c r="AF13" i="21"/>
  <c r="AF14" i="21"/>
  <c r="AF15" i="21"/>
  <c r="AF16" i="21"/>
  <c r="AF17" i="21"/>
  <c r="AF18" i="21"/>
  <c r="AF19" i="21"/>
  <c r="AF20" i="21"/>
  <c r="AF21" i="21"/>
  <c r="AF22" i="21"/>
  <c r="AF23" i="21"/>
  <c r="AF24" i="21"/>
  <c r="P25" i="24"/>
  <c r="P26" i="24"/>
  <c r="O21" i="24"/>
  <c r="N21" i="24"/>
  <c r="M21" i="24"/>
  <c r="L21" i="24"/>
  <c r="O20" i="24"/>
  <c r="N20" i="24"/>
  <c r="M20" i="24"/>
  <c r="L20" i="24"/>
  <c r="O19" i="24"/>
  <c r="N19" i="24"/>
  <c r="M19" i="24"/>
  <c r="L19" i="24"/>
  <c r="O18" i="24"/>
  <c r="N18" i="24"/>
  <c r="M18" i="24"/>
  <c r="L18" i="24"/>
  <c r="BQ43" i="23"/>
  <c r="BH43" i="22"/>
  <c r="BQ43" i="1"/>
  <c r="BQ43" i="21"/>
  <c r="B7" i="22"/>
  <c r="P7" i="6" s="1"/>
  <c r="O12" i="6"/>
  <c r="N6" i="6"/>
  <c r="B7" i="23"/>
  <c r="BO45" i="23" s="1"/>
  <c r="AU4" i="23"/>
  <c r="AU4" i="22"/>
  <c r="AU4" i="21"/>
  <c r="AU4" i="1"/>
  <c r="Q24" i="6"/>
  <c r="Q25" i="6"/>
  <c r="Q26" i="6"/>
  <c r="BT37" i="23"/>
  <c r="BS37" i="23"/>
  <c r="BR37" i="23"/>
  <c r="BT36" i="23"/>
  <c r="BS36" i="23"/>
  <c r="BR36" i="23"/>
  <c r="BT35" i="23"/>
  <c r="BS35" i="23"/>
  <c r="BR35" i="23"/>
  <c r="BT34" i="23"/>
  <c r="BS34" i="23"/>
  <c r="BR34" i="23"/>
  <c r="BT33" i="23"/>
  <c r="BS33" i="23"/>
  <c r="BR33" i="23"/>
  <c r="BT32" i="23"/>
  <c r="BS32" i="23"/>
  <c r="BR32" i="23"/>
  <c r="BT31" i="23"/>
  <c r="BS31" i="23"/>
  <c r="BR31" i="23"/>
  <c r="BT30" i="23"/>
  <c r="BS30" i="23"/>
  <c r="BR30" i="23"/>
  <c r="BT29" i="23"/>
  <c r="BS29" i="23"/>
  <c r="BR29" i="23"/>
  <c r="BT28" i="23"/>
  <c r="BS28" i="23"/>
  <c r="BR28" i="23"/>
  <c r="BT27" i="23"/>
  <c r="BS27" i="23"/>
  <c r="BR27" i="23"/>
  <c r="BT26" i="23"/>
  <c r="BS26" i="23"/>
  <c r="BR26" i="23"/>
  <c r="BT25" i="23"/>
  <c r="BS25" i="23"/>
  <c r="BR25" i="23"/>
  <c r="BT24" i="23"/>
  <c r="BS24" i="23"/>
  <c r="BR24" i="23"/>
  <c r="AR24" i="23"/>
  <c r="AQ24" i="23"/>
  <c r="AP24" i="23"/>
  <c r="AF24" i="23"/>
  <c r="AE24" i="23"/>
  <c r="AT24" i="23" s="1"/>
  <c r="AO24" i="23"/>
  <c r="BT23" i="23"/>
  <c r="BS23" i="23"/>
  <c r="BR23" i="23"/>
  <c r="AR23" i="23"/>
  <c r="AQ23" i="23"/>
  <c r="AP23" i="23"/>
  <c r="AF23" i="23"/>
  <c r="AE23" i="23"/>
  <c r="AT23" i="23" s="1"/>
  <c r="AO23" i="23"/>
  <c r="BT22" i="23"/>
  <c r="BS22" i="23"/>
  <c r="BR22" i="23"/>
  <c r="AR22" i="23"/>
  <c r="AQ22" i="23"/>
  <c r="AP22" i="23"/>
  <c r="AF22" i="23"/>
  <c r="AE22" i="23"/>
  <c r="AT22" i="23" s="1"/>
  <c r="AO22" i="23"/>
  <c r="BT21" i="23"/>
  <c r="BS21" i="23"/>
  <c r="BR21" i="23"/>
  <c r="AQ21" i="23"/>
  <c r="BT20" i="23"/>
  <c r="BS20" i="23"/>
  <c r="BR20" i="23"/>
  <c r="AQ20" i="23"/>
  <c r="BT19" i="23"/>
  <c r="BS19" i="23"/>
  <c r="BR19" i="23"/>
  <c r="AQ19" i="23"/>
  <c r="BT18" i="23"/>
  <c r="BS18" i="23"/>
  <c r="BR18" i="23"/>
  <c r="AQ18" i="23"/>
  <c r="BT17" i="23"/>
  <c r="BS17" i="23"/>
  <c r="BR17" i="23"/>
  <c r="AQ17" i="23"/>
  <c r="BT16" i="23"/>
  <c r="BS16" i="23"/>
  <c r="BR16" i="23"/>
  <c r="AQ16" i="23"/>
  <c r="BT15" i="23"/>
  <c r="BS15" i="23"/>
  <c r="BR15" i="23"/>
  <c r="AQ15" i="23"/>
  <c r="BT14" i="23"/>
  <c r="BS14" i="23"/>
  <c r="BR14" i="23"/>
  <c r="AQ14" i="23"/>
  <c r="BT13" i="23"/>
  <c r="BS13" i="23"/>
  <c r="BR13" i="23"/>
  <c r="AQ13" i="23"/>
  <c r="BT12" i="23"/>
  <c r="BS12" i="23"/>
  <c r="BR12" i="23"/>
  <c r="AQ12" i="23"/>
  <c r="BT11" i="23"/>
  <c r="BS11" i="23"/>
  <c r="BR11" i="23"/>
  <c r="AQ11" i="23"/>
  <c r="BT10" i="23"/>
  <c r="BS10" i="23"/>
  <c r="BR10" i="23"/>
  <c r="AQ10" i="23"/>
  <c r="BT9" i="23"/>
  <c r="BS9" i="23"/>
  <c r="BR9" i="23"/>
  <c r="AQ9" i="23"/>
  <c r="BT8" i="23"/>
  <c r="BS8" i="23"/>
  <c r="BR8" i="23"/>
  <c r="AQ8" i="23"/>
  <c r="BT7" i="23"/>
  <c r="BS7" i="23"/>
  <c r="BR7" i="23"/>
  <c r="AQ7" i="23"/>
  <c r="BT6" i="23"/>
  <c r="BS6" i="23"/>
  <c r="BR6" i="23"/>
  <c r="AQ6" i="23"/>
  <c r="BT5" i="23"/>
  <c r="BS5" i="23"/>
  <c r="BR5" i="23"/>
  <c r="AQ5" i="23"/>
  <c r="BT4" i="23"/>
  <c r="BS4" i="23"/>
  <c r="BR4" i="23"/>
  <c r="BQ4" i="23"/>
  <c r="BP4" i="23"/>
  <c r="BO4" i="23"/>
  <c r="BN4" i="23"/>
  <c r="BM4" i="23"/>
  <c r="BL4" i="23"/>
  <c r="BK4" i="23"/>
  <c r="BJ4" i="23"/>
  <c r="BI4" i="23"/>
  <c r="BH4" i="23"/>
  <c r="BG4" i="23"/>
  <c r="BF4" i="23"/>
  <c r="BE4" i="23"/>
  <c r="BD4" i="23"/>
  <c r="BC4" i="23"/>
  <c r="BB4" i="23"/>
  <c r="BA4" i="23"/>
  <c r="AZ4" i="23"/>
  <c r="BT3" i="23"/>
  <c r="BS3" i="23"/>
  <c r="BR3" i="23"/>
  <c r="BQ3" i="23"/>
  <c r="BP3" i="23"/>
  <c r="BO3" i="23"/>
  <c r="BN3" i="23"/>
  <c r="BM3" i="23"/>
  <c r="BL3" i="23"/>
  <c r="BK3" i="23"/>
  <c r="BJ3" i="23"/>
  <c r="BI3" i="23"/>
  <c r="BH3" i="23"/>
  <c r="BG3" i="23"/>
  <c r="BF3" i="23"/>
  <c r="BE3" i="23"/>
  <c r="BD3" i="23"/>
  <c r="BC3" i="23"/>
  <c r="BB3" i="23"/>
  <c r="BA3" i="23"/>
  <c r="AZ3" i="23"/>
  <c r="P15" i="6"/>
  <c r="P16" i="6"/>
  <c r="P17" i="6"/>
  <c r="P18" i="6"/>
  <c r="P19" i="6"/>
  <c r="O8" i="6"/>
  <c r="O14" i="6"/>
  <c r="O15" i="6"/>
  <c r="O16" i="6"/>
  <c r="O17" i="6"/>
  <c r="O18" i="6"/>
  <c r="O19" i="6"/>
  <c r="O20" i="6"/>
  <c r="O21" i="6"/>
  <c r="O22" i="6"/>
  <c r="O23" i="6"/>
  <c r="O24" i="6"/>
  <c r="O25" i="6"/>
  <c r="O26" i="6"/>
  <c r="BM37" i="22"/>
  <c r="BL37" i="22"/>
  <c r="BK37" i="22"/>
  <c r="BJ37" i="22"/>
  <c r="BI37" i="22"/>
  <c r="BM36" i="22"/>
  <c r="BL36" i="22"/>
  <c r="BK36" i="22"/>
  <c r="BJ36" i="22"/>
  <c r="BI36" i="22"/>
  <c r="BM35" i="22"/>
  <c r="BL35" i="22"/>
  <c r="BK35" i="22"/>
  <c r="BJ35" i="22"/>
  <c r="BI35" i="22"/>
  <c r="BM34" i="22"/>
  <c r="BL34" i="22"/>
  <c r="BK34" i="22"/>
  <c r="BJ34" i="22"/>
  <c r="BI34" i="22"/>
  <c r="BM33" i="22"/>
  <c r="BL33" i="22"/>
  <c r="BK33" i="22"/>
  <c r="BJ33" i="22"/>
  <c r="BI33" i="22"/>
  <c r="BM32" i="22"/>
  <c r="BL32" i="22"/>
  <c r="BK32" i="22"/>
  <c r="BJ32" i="22"/>
  <c r="BI32" i="22"/>
  <c r="BM31" i="22"/>
  <c r="BL31" i="22"/>
  <c r="BK31" i="22"/>
  <c r="BJ31" i="22"/>
  <c r="BI31" i="22"/>
  <c r="BM30" i="22"/>
  <c r="BL30" i="22"/>
  <c r="BK30" i="22"/>
  <c r="BJ30" i="22"/>
  <c r="BI30" i="22"/>
  <c r="BM29" i="22"/>
  <c r="BL29" i="22"/>
  <c r="BK29" i="22"/>
  <c r="BJ29" i="22"/>
  <c r="BI29" i="22"/>
  <c r="BM28" i="22"/>
  <c r="BL28" i="22"/>
  <c r="BK28" i="22"/>
  <c r="BJ28" i="22"/>
  <c r="BI28" i="22"/>
  <c r="BM27" i="22"/>
  <c r="BL27" i="22"/>
  <c r="BK27" i="22"/>
  <c r="BJ27" i="22"/>
  <c r="BI27" i="22"/>
  <c r="BM26" i="22"/>
  <c r="BL26" i="22"/>
  <c r="BK26" i="22"/>
  <c r="BJ26" i="22"/>
  <c r="BI26" i="22"/>
  <c r="BM25" i="22"/>
  <c r="BL25" i="22"/>
  <c r="BK25" i="22"/>
  <c r="BJ25" i="22"/>
  <c r="BI25" i="22"/>
  <c r="BM24" i="22"/>
  <c r="BL24" i="22"/>
  <c r="BK24" i="22"/>
  <c r="BJ24" i="22"/>
  <c r="BI24" i="22"/>
  <c r="AQ24" i="22"/>
  <c r="BM23" i="22"/>
  <c r="BL23" i="22"/>
  <c r="BK23" i="22"/>
  <c r="BJ23" i="22"/>
  <c r="BI23" i="22"/>
  <c r="AQ23" i="22"/>
  <c r="BM22" i="22"/>
  <c r="BL22" i="22"/>
  <c r="BK22" i="22"/>
  <c r="BJ22" i="22"/>
  <c r="BI22" i="22"/>
  <c r="AQ22" i="22"/>
  <c r="BM21" i="22"/>
  <c r="BL21" i="22"/>
  <c r="BK21" i="22"/>
  <c r="BJ21" i="22"/>
  <c r="BI21" i="22"/>
  <c r="AQ21" i="22"/>
  <c r="BM20" i="22"/>
  <c r="BL20" i="22"/>
  <c r="BK20" i="22"/>
  <c r="BJ20" i="22"/>
  <c r="BI20" i="22"/>
  <c r="AQ20" i="22"/>
  <c r="BM19" i="22"/>
  <c r="BL19" i="22"/>
  <c r="BK19" i="22"/>
  <c r="BJ19" i="22"/>
  <c r="BI19" i="22"/>
  <c r="AQ19" i="22"/>
  <c r="BM18" i="22"/>
  <c r="BL18" i="22"/>
  <c r="BK18" i="22"/>
  <c r="BJ18" i="22"/>
  <c r="BI18" i="22"/>
  <c r="AQ18" i="22"/>
  <c r="BM17" i="22"/>
  <c r="BL17" i="22"/>
  <c r="BK17" i="22"/>
  <c r="BJ17" i="22"/>
  <c r="BI17" i="22"/>
  <c r="AR17" i="22"/>
  <c r="AQ17" i="22"/>
  <c r="AP17" i="22"/>
  <c r="AF17" i="22"/>
  <c r="AE17" i="22"/>
  <c r="AS17" i="22" s="1"/>
  <c r="AO17" i="22"/>
  <c r="BM16" i="22"/>
  <c r="BL16" i="22"/>
  <c r="BK16" i="22"/>
  <c r="BJ16" i="22"/>
  <c r="BI16" i="22"/>
  <c r="AR16" i="22"/>
  <c r="AQ16" i="22"/>
  <c r="AP16" i="22"/>
  <c r="AF16" i="22"/>
  <c r="AE16" i="22"/>
  <c r="AT16" i="22" s="1"/>
  <c r="AO16" i="22"/>
  <c r="BM15" i="22"/>
  <c r="BL15" i="22"/>
  <c r="BK15" i="22"/>
  <c r="BJ15" i="22"/>
  <c r="BI15" i="22"/>
  <c r="AR15" i="22"/>
  <c r="AQ15" i="22"/>
  <c r="AP15" i="22"/>
  <c r="AF15" i="22"/>
  <c r="AE15" i="22"/>
  <c r="AT15" i="22" s="1"/>
  <c r="AO15" i="22"/>
  <c r="BM14" i="22"/>
  <c r="BL14" i="22"/>
  <c r="BK14" i="22"/>
  <c r="BJ14" i="22"/>
  <c r="BI14" i="22"/>
  <c r="AR14" i="22"/>
  <c r="AQ14" i="22"/>
  <c r="AP14" i="22"/>
  <c r="AF14" i="22"/>
  <c r="AE14" i="22"/>
  <c r="AT14" i="22" s="1"/>
  <c r="AO14" i="22"/>
  <c r="BM13" i="22"/>
  <c r="BL13" i="22"/>
  <c r="BK13" i="22"/>
  <c r="BJ13" i="22"/>
  <c r="BI13" i="22"/>
  <c r="AR13" i="22"/>
  <c r="AQ13" i="22"/>
  <c r="AP13" i="22"/>
  <c r="AF13" i="22"/>
  <c r="AE13" i="22"/>
  <c r="AT13" i="22" s="1"/>
  <c r="AO13" i="22"/>
  <c r="BM12" i="22"/>
  <c r="BL12" i="22"/>
  <c r="BK12" i="22"/>
  <c r="BJ12" i="22"/>
  <c r="BI12" i="22"/>
  <c r="AQ12" i="22"/>
  <c r="BM11" i="22"/>
  <c r="BL11" i="22"/>
  <c r="BK11" i="22"/>
  <c r="BJ11" i="22"/>
  <c r="BI11" i="22"/>
  <c r="AQ11" i="22"/>
  <c r="BM10" i="22"/>
  <c r="BL10" i="22"/>
  <c r="BK10" i="22"/>
  <c r="BJ10" i="22"/>
  <c r="BI10" i="22"/>
  <c r="AQ10" i="22"/>
  <c r="BM9" i="22"/>
  <c r="BL9" i="22"/>
  <c r="BK9" i="22"/>
  <c r="BJ9" i="22"/>
  <c r="BI9" i="22"/>
  <c r="AQ9" i="22"/>
  <c r="BM8" i="22"/>
  <c r="BL8" i="22"/>
  <c r="BK8" i="22"/>
  <c r="BJ8" i="22"/>
  <c r="BI8" i="22"/>
  <c r="AQ8" i="22"/>
  <c r="BM7" i="22"/>
  <c r="BL7" i="22"/>
  <c r="BK7" i="22"/>
  <c r="BJ7" i="22"/>
  <c r="BI7" i="22"/>
  <c r="AQ7" i="22"/>
  <c r="BM6" i="22"/>
  <c r="BL6" i="22"/>
  <c r="BK6" i="22"/>
  <c r="BJ6" i="22"/>
  <c r="BI6" i="22"/>
  <c r="AQ6" i="22"/>
  <c r="BM5" i="22"/>
  <c r="BL5" i="22"/>
  <c r="BK5" i="22"/>
  <c r="BJ5" i="22"/>
  <c r="BI5" i="22"/>
  <c r="AQ5" i="22"/>
  <c r="BT4" i="22"/>
  <c r="BS4" i="22"/>
  <c r="BR4" i="22"/>
  <c r="BQ4" i="22"/>
  <c r="BP4" i="22"/>
  <c r="BO4" i="22"/>
  <c r="BN4" i="22"/>
  <c r="BM4" i="22"/>
  <c r="BL4" i="22"/>
  <c r="BK4" i="22"/>
  <c r="BJ4" i="22"/>
  <c r="BI4" i="22"/>
  <c r="BH4" i="22"/>
  <c r="BG4" i="22"/>
  <c r="BF4" i="22"/>
  <c r="BE4" i="22"/>
  <c r="BD4" i="22"/>
  <c r="BC4" i="22"/>
  <c r="BB4" i="22"/>
  <c r="BA4" i="22"/>
  <c r="AZ4" i="22"/>
  <c r="BT3" i="22"/>
  <c r="BS3" i="22"/>
  <c r="BR3" i="22"/>
  <c r="BQ3" i="22"/>
  <c r="BP3" i="22"/>
  <c r="BO3" i="22"/>
  <c r="BN3" i="22"/>
  <c r="BM3" i="22"/>
  <c r="BL3" i="22"/>
  <c r="BK3" i="22"/>
  <c r="BJ3" i="22"/>
  <c r="BI3" i="22"/>
  <c r="BH3" i="22"/>
  <c r="BG3" i="22"/>
  <c r="BF3" i="22"/>
  <c r="BE3" i="22"/>
  <c r="BD3" i="22"/>
  <c r="BC3" i="22"/>
  <c r="BB3" i="22"/>
  <c r="BA3" i="22"/>
  <c r="AZ3" i="22"/>
  <c r="BT37" i="21"/>
  <c r="BS37" i="21"/>
  <c r="BR37" i="21"/>
  <c r="BQ37" i="21"/>
  <c r="BP37" i="21"/>
  <c r="BO37" i="21"/>
  <c r="BN37" i="21"/>
  <c r="BM37" i="21"/>
  <c r="BL37" i="21"/>
  <c r="BK37" i="21"/>
  <c r="BJ37" i="21"/>
  <c r="BI37" i="21"/>
  <c r="BT36" i="21"/>
  <c r="BS36" i="21"/>
  <c r="BR36" i="21"/>
  <c r="BQ36" i="21"/>
  <c r="BP36" i="21"/>
  <c r="BO36" i="21"/>
  <c r="BN36" i="21"/>
  <c r="BM36" i="21"/>
  <c r="BL36" i="21"/>
  <c r="BK36" i="21"/>
  <c r="BJ36" i="21"/>
  <c r="BI36" i="21"/>
  <c r="BT35" i="21"/>
  <c r="BS35" i="21"/>
  <c r="BR35" i="21"/>
  <c r="BQ35" i="21"/>
  <c r="BP35" i="21"/>
  <c r="BO35" i="21"/>
  <c r="BN35" i="21"/>
  <c r="BM35" i="21"/>
  <c r="BL35" i="21"/>
  <c r="BK35" i="21"/>
  <c r="BJ35" i="21"/>
  <c r="BI35" i="21"/>
  <c r="BT34" i="21"/>
  <c r="BS34" i="21"/>
  <c r="BR34" i="21"/>
  <c r="BQ34" i="21"/>
  <c r="BP34" i="21"/>
  <c r="BO34" i="21"/>
  <c r="BN34" i="21"/>
  <c r="BM34" i="21"/>
  <c r="BL34" i="21"/>
  <c r="BK34" i="21"/>
  <c r="BJ34" i="21"/>
  <c r="BI34" i="21"/>
  <c r="BT33" i="21"/>
  <c r="BS33" i="21"/>
  <c r="BR33" i="21"/>
  <c r="BQ33" i="21"/>
  <c r="BP33" i="21"/>
  <c r="BO33" i="21"/>
  <c r="BN33" i="21"/>
  <c r="BM33" i="21"/>
  <c r="BL33" i="21"/>
  <c r="BK33" i="21"/>
  <c r="BJ33" i="21"/>
  <c r="BI33" i="21"/>
  <c r="BT32" i="21"/>
  <c r="BS32" i="21"/>
  <c r="BR32" i="21"/>
  <c r="BQ32" i="21"/>
  <c r="BP32" i="21"/>
  <c r="BO32" i="21"/>
  <c r="BN32" i="21"/>
  <c r="BM32" i="21"/>
  <c r="BL32" i="21"/>
  <c r="BK32" i="21"/>
  <c r="BJ32" i="21"/>
  <c r="BI32" i="21"/>
  <c r="BT31" i="21"/>
  <c r="BS31" i="21"/>
  <c r="BR31" i="21"/>
  <c r="BQ31" i="21"/>
  <c r="BP31" i="21"/>
  <c r="BO31" i="21"/>
  <c r="BN31" i="21"/>
  <c r="BM31" i="21"/>
  <c r="BL31" i="21"/>
  <c r="BK31" i="21"/>
  <c r="BJ31" i="21"/>
  <c r="BI31" i="21"/>
  <c r="BT30" i="21"/>
  <c r="BS30" i="21"/>
  <c r="BR30" i="21"/>
  <c r="BQ30" i="21"/>
  <c r="BP30" i="21"/>
  <c r="BO30" i="21"/>
  <c r="BN30" i="21"/>
  <c r="BM30" i="21"/>
  <c r="BL30" i="21"/>
  <c r="BK30" i="21"/>
  <c r="BJ30" i="21"/>
  <c r="BI30" i="21"/>
  <c r="BT29" i="21"/>
  <c r="BS29" i="21"/>
  <c r="BR29" i="21"/>
  <c r="BQ29" i="21"/>
  <c r="BP29" i="21"/>
  <c r="BO29" i="21"/>
  <c r="BN29" i="21"/>
  <c r="BM29" i="21"/>
  <c r="BL29" i="21"/>
  <c r="BK29" i="21"/>
  <c r="BJ29" i="21"/>
  <c r="BI29" i="21"/>
  <c r="BT28" i="21"/>
  <c r="BS28" i="21"/>
  <c r="BR28" i="21"/>
  <c r="BQ28" i="21"/>
  <c r="BP28" i="21"/>
  <c r="BO28" i="21"/>
  <c r="BN28" i="21"/>
  <c r="BM28" i="21"/>
  <c r="BL28" i="21"/>
  <c r="BK28" i="21"/>
  <c r="BJ28" i="21"/>
  <c r="BI28" i="21"/>
  <c r="BT27" i="21"/>
  <c r="BS27" i="21"/>
  <c r="BR27" i="21"/>
  <c r="BQ27" i="21"/>
  <c r="BP27" i="21"/>
  <c r="BO27" i="21"/>
  <c r="BN27" i="21"/>
  <c r="BM27" i="21"/>
  <c r="BL27" i="21"/>
  <c r="BK27" i="21"/>
  <c r="BJ27" i="21"/>
  <c r="BI27" i="21"/>
  <c r="BT26" i="21"/>
  <c r="BS26" i="21"/>
  <c r="BR26" i="21"/>
  <c r="BQ26" i="21"/>
  <c r="BP26" i="21"/>
  <c r="BO26" i="21"/>
  <c r="BN26" i="21"/>
  <c r="BM26" i="21"/>
  <c r="BL26" i="21"/>
  <c r="BK26" i="21"/>
  <c r="BJ26" i="21"/>
  <c r="BI26" i="21"/>
  <c r="BT25" i="21"/>
  <c r="BS25" i="21"/>
  <c r="BR25" i="21"/>
  <c r="BQ25" i="21"/>
  <c r="BP25" i="21"/>
  <c r="BO25" i="21"/>
  <c r="BN25" i="21"/>
  <c r="BM25" i="21"/>
  <c r="BL25" i="21"/>
  <c r="BK25" i="21"/>
  <c r="BJ25" i="21"/>
  <c r="BI25" i="21"/>
  <c r="BT24" i="21"/>
  <c r="BS24" i="21"/>
  <c r="BR24" i="21"/>
  <c r="BQ24" i="21"/>
  <c r="BP24" i="21"/>
  <c r="BO24" i="21"/>
  <c r="BN24" i="21"/>
  <c r="BM24" i="21"/>
  <c r="BL24" i="21"/>
  <c r="BK24" i="21"/>
  <c r="BJ24" i="21"/>
  <c r="BI24" i="21"/>
  <c r="AR24" i="21"/>
  <c r="AQ24" i="21"/>
  <c r="AP24" i="21"/>
  <c r="AE24" i="21"/>
  <c r="AT24" i="21" s="1"/>
  <c r="AO24" i="21"/>
  <c r="BT23" i="21"/>
  <c r="BS23" i="21"/>
  <c r="BR23" i="21"/>
  <c r="BQ23" i="21"/>
  <c r="BP23" i="21"/>
  <c r="BO23" i="21"/>
  <c r="BN23" i="21"/>
  <c r="BM23" i="21"/>
  <c r="BL23" i="21"/>
  <c r="BK23" i="21"/>
  <c r="BJ23" i="21"/>
  <c r="BI23" i="21"/>
  <c r="AR23" i="21"/>
  <c r="AQ23" i="21"/>
  <c r="AP23" i="21"/>
  <c r="AE23" i="21"/>
  <c r="AS23" i="21" s="1"/>
  <c r="AO23" i="21"/>
  <c r="BT22" i="21"/>
  <c r="BS22" i="21"/>
  <c r="BR22" i="21"/>
  <c r="BQ22" i="21"/>
  <c r="BP22" i="21"/>
  <c r="BO22" i="21"/>
  <c r="BN22" i="21"/>
  <c r="BM22" i="21"/>
  <c r="BL22" i="21"/>
  <c r="BK22" i="21"/>
  <c r="BJ22" i="21"/>
  <c r="BI22" i="21"/>
  <c r="AR22" i="21"/>
  <c r="AQ22" i="21"/>
  <c r="AP22" i="21"/>
  <c r="AE22" i="21"/>
  <c r="AT22" i="21" s="1"/>
  <c r="AO22" i="21"/>
  <c r="BT21" i="21"/>
  <c r="BS21" i="21"/>
  <c r="BR21" i="21"/>
  <c r="BQ21" i="21"/>
  <c r="BP21" i="21"/>
  <c r="BO21" i="21"/>
  <c r="BN21" i="21"/>
  <c r="BM21" i="21"/>
  <c r="BL21" i="21"/>
  <c r="BK21" i="21"/>
  <c r="BJ21" i="21"/>
  <c r="BI21" i="21"/>
  <c r="AR21" i="21"/>
  <c r="AQ21" i="21"/>
  <c r="AP21" i="21"/>
  <c r="AE21" i="21"/>
  <c r="AT21" i="21" s="1"/>
  <c r="AO21" i="21"/>
  <c r="BT20" i="21"/>
  <c r="BS20" i="21"/>
  <c r="BR20" i="21"/>
  <c r="BQ20" i="21"/>
  <c r="BP20" i="21"/>
  <c r="BO20" i="21"/>
  <c r="BN20" i="21"/>
  <c r="BM20" i="21"/>
  <c r="BL20" i="21"/>
  <c r="BK20" i="21"/>
  <c r="BJ20" i="21"/>
  <c r="BI20" i="21"/>
  <c r="AR20" i="21"/>
  <c r="AQ20" i="21"/>
  <c r="AP20" i="21"/>
  <c r="AE20" i="21"/>
  <c r="AS20" i="21" s="1"/>
  <c r="AO20" i="21"/>
  <c r="BT19" i="21"/>
  <c r="BS19" i="21"/>
  <c r="BR19" i="21"/>
  <c r="BQ19" i="21"/>
  <c r="BP19" i="21"/>
  <c r="BO19" i="21"/>
  <c r="BN19" i="21"/>
  <c r="BM19" i="21"/>
  <c r="BL19" i="21"/>
  <c r="BK19" i="21"/>
  <c r="BJ19" i="21"/>
  <c r="BI19" i="21"/>
  <c r="AR19" i="21"/>
  <c r="AQ19" i="21"/>
  <c r="AP19" i="21"/>
  <c r="AE19" i="21"/>
  <c r="AS19" i="21" s="1"/>
  <c r="AO19" i="21"/>
  <c r="BT18" i="21"/>
  <c r="BS18" i="21"/>
  <c r="BR18" i="21"/>
  <c r="BQ18" i="21"/>
  <c r="BP18" i="21"/>
  <c r="BO18" i="21"/>
  <c r="BN18" i="21"/>
  <c r="BM18" i="21"/>
  <c r="BL18" i="21"/>
  <c r="BK18" i="21"/>
  <c r="BJ18" i="21"/>
  <c r="BI18" i="21"/>
  <c r="AR18" i="21"/>
  <c r="AQ18" i="21"/>
  <c r="AP18" i="21"/>
  <c r="AE18" i="21"/>
  <c r="AT18" i="21" s="1"/>
  <c r="AO18" i="21"/>
  <c r="BT17" i="21"/>
  <c r="BS17" i="21"/>
  <c r="BR17" i="21"/>
  <c r="BQ17" i="21"/>
  <c r="BP17" i="21"/>
  <c r="BO17" i="21"/>
  <c r="BN17" i="21"/>
  <c r="BM17" i="21"/>
  <c r="BL17" i="21"/>
  <c r="BK17" i="21"/>
  <c r="BJ17" i="21"/>
  <c r="BI17" i="21"/>
  <c r="AR17" i="21"/>
  <c r="AQ17" i="21"/>
  <c r="AP17" i="21"/>
  <c r="AE17" i="21"/>
  <c r="AS17" i="21" s="1"/>
  <c r="AO17" i="21"/>
  <c r="BT16" i="21"/>
  <c r="BS16" i="21"/>
  <c r="BR16" i="21"/>
  <c r="BQ16" i="21"/>
  <c r="BP16" i="21"/>
  <c r="BO16" i="21"/>
  <c r="BN16" i="21"/>
  <c r="BM16" i="21"/>
  <c r="BL16" i="21"/>
  <c r="BK16" i="21"/>
  <c r="BJ16" i="21"/>
  <c r="BI16" i="21"/>
  <c r="AR16" i="21"/>
  <c r="AQ16" i="21"/>
  <c r="AP16" i="21"/>
  <c r="AE16" i="21"/>
  <c r="AT16" i="21" s="1"/>
  <c r="AO16" i="21"/>
  <c r="BT15" i="21"/>
  <c r="BS15" i="21"/>
  <c r="BR15" i="21"/>
  <c r="BQ15" i="21"/>
  <c r="BP15" i="21"/>
  <c r="BO15" i="21"/>
  <c r="BN15" i="21"/>
  <c r="BM15" i="21"/>
  <c r="BL15" i="21"/>
  <c r="BK15" i="21"/>
  <c r="BJ15" i="21"/>
  <c r="BI15" i="21"/>
  <c r="AR15" i="21"/>
  <c r="AQ15" i="21"/>
  <c r="AP15" i="21"/>
  <c r="AE15" i="21"/>
  <c r="AT15" i="21" s="1"/>
  <c r="AO15" i="21"/>
  <c r="BT14" i="21"/>
  <c r="BS14" i="21"/>
  <c r="BR14" i="21"/>
  <c r="BQ14" i="21"/>
  <c r="BP14" i="21"/>
  <c r="BO14" i="21"/>
  <c r="BN14" i="21"/>
  <c r="BM14" i="21"/>
  <c r="BL14" i="21"/>
  <c r="BK14" i="21"/>
  <c r="BJ14" i="21"/>
  <c r="BI14" i="21"/>
  <c r="AR14" i="21"/>
  <c r="AQ14" i="21"/>
  <c r="AP14" i="21"/>
  <c r="AE14" i="21"/>
  <c r="AT14" i="21" s="1"/>
  <c r="AO14" i="21"/>
  <c r="BT13" i="21"/>
  <c r="BS13" i="21"/>
  <c r="BR13" i="21"/>
  <c r="BQ13" i="21"/>
  <c r="BP13" i="21"/>
  <c r="BO13" i="21"/>
  <c r="BN13" i="21"/>
  <c r="BM13" i="21"/>
  <c r="BL13" i="21"/>
  <c r="BK13" i="21"/>
  <c r="BJ13" i="21"/>
  <c r="BI13" i="21"/>
  <c r="AR13" i="21"/>
  <c r="AQ13" i="21"/>
  <c r="AP13" i="21"/>
  <c r="AE13" i="21"/>
  <c r="AT13" i="21" s="1"/>
  <c r="AO13" i="21"/>
  <c r="BT12" i="21"/>
  <c r="BS12" i="21"/>
  <c r="BR12" i="21"/>
  <c r="BQ12" i="21"/>
  <c r="BP12" i="21"/>
  <c r="BO12" i="21"/>
  <c r="BN12" i="21"/>
  <c r="BM12" i="21"/>
  <c r="BL12" i="21"/>
  <c r="BK12" i="21"/>
  <c r="BJ12" i="21"/>
  <c r="BI12" i="21"/>
  <c r="AQ12" i="21"/>
  <c r="BT11" i="21"/>
  <c r="BS11" i="21"/>
  <c r="BR11" i="21"/>
  <c r="BQ11" i="21"/>
  <c r="BP11" i="21"/>
  <c r="BO11" i="21"/>
  <c r="BN11" i="21"/>
  <c r="BM11" i="21"/>
  <c r="BL11" i="21"/>
  <c r="BK11" i="21"/>
  <c r="BJ11" i="21"/>
  <c r="BI11" i="21"/>
  <c r="AQ11" i="21"/>
  <c r="BT10" i="21"/>
  <c r="BS10" i="21"/>
  <c r="BR10" i="21"/>
  <c r="BQ10" i="21"/>
  <c r="BP10" i="21"/>
  <c r="BO10" i="21"/>
  <c r="BN10" i="21"/>
  <c r="BM10" i="21"/>
  <c r="BL10" i="21"/>
  <c r="BK10" i="21"/>
  <c r="BJ10" i="21"/>
  <c r="BI10" i="21"/>
  <c r="AQ10" i="21"/>
  <c r="BT9" i="21"/>
  <c r="BS9" i="21"/>
  <c r="BR9" i="21"/>
  <c r="BQ9" i="21"/>
  <c r="BP9" i="21"/>
  <c r="BO9" i="21"/>
  <c r="BN9" i="21"/>
  <c r="BM9" i="21"/>
  <c r="BL9" i="21"/>
  <c r="BK9" i="21"/>
  <c r="BJ9" i="21"/>
  <c r="BI9" i="21"/>
  <c r="AQ9" i="21"/>
  <c r="BT8" i="21"/>
  <c r="BS8" i="21"/>
  <c r="BR8" i="21"/>
  <c r="BQ8" i="21"/>
  <c r="BP8" i="21"/>
  <c r="BO8" i="21"/>
  <c r="BN8" i="21"/>
  <c r="BM8" i="21"/>
  <c r="BL8" i="21"/>
  <c r="BK8" i="21"/>
  <c r="BJ8" i="21"/>
  <c r="BI8" i="21"/>
  <c r="AQ8" i="21"/>
  <c r="BT7" i="21"/>
  <c r="BS7" i="21"/>
  <c r="BR7" i="21"/>
  <c r="BQ7" i="21"/>
  <c r="BP7" i="21"/>
  <c r="BO7" i="21"/>
  <c r="BN7" i="21"/>
  <c r="BM7" i="21"/>
  <c r="BL7" i="21"/>
  <c r="BK7" i="21"/>
  <c r="BJ7" i="21"/>
  <c r="BI7" i="21"/>
  <c r="AQ7" i="21"/>
  <c r="BT6" i="21"/>
  <c r="BS6" i="21"/>
  <c r="BR6" i="21"/>
  <c r="BQ6" i="21"/>
  <c r="BP6" i="21"/>
  <c r="BO6" i="21"/>
  <c r="BN6" i="21"/>
  <c r="BM6" i="21"/>
  <c r="BL6" i="21"/>
  <c r="BK6" i="21"/>
  <c r="BJ6" i="21"/>
  <c r="BI6" i="21"/>
  <c r="AQ6" i="21"/>
  <c r="BT5" i="21"/>
  <c r="BS5" i="21"/>
  <c r="BR5" i="21"/>
  <c r="BQ5" i="21"/>
  <c r="BP5" i="21"/>
  <c r="BO5" i="21"/>
  <c r="BN5" i="21"/>
  <c r="BM5" i="21"/>
  <c r="BL5" i="21"/>
  <c r="BK5" i="21"/>
  <c r="BJ5" i="21"/>
  <c r="BI5" i="21"/>
  <c r="AQ5" i="21"/>
  <c r="BT4" i="21"/>
  <c r="BS4" i="21"/>
  <c r="BR4" i="21"/>
  <c r="BQ4" i="21"/>
  <c r="BP4" i="21"/>
  <c r="BO4" i="21"/>
  <c r="BN4" i="21"/>
  <c r="BM4" i="21"/>
  <c r="BL4" i="21"/>
  <c r="BK4" i="21"/>
  <c r="BJ4" i="21"/>
  <c r="BI4" i="21"/>
  <c r="BH4" i="21"/>
  <c r="BG4" i="21"/>
  <c r="BF4" i="21"/>
  <c r="BE4" i="21"/>
  <c r="BD4" i="21"/>
  <c r="BC4" i="21"/>
  <c r="BB4" i="21"/>
  <c r="BA4" i="21"/>
  <c r="AZ4" i="21"/>
  <c r="BT3" i="21"/>
  <c r="BS3" i="21"/>
  <c r="BR3" i="21"/>
  <c r="BQ3" i="21"/>
  <c r="BP3" i="21"/>
  <c r="BO3" i="21"/>
  <c r="BN3" i="21"/>
  <c r="BM3" i="21"/>
  <c r="BL3" i="21"/>
  <c r="BK3" i="21"/>
  <c r="BJ3" i="21"/>
  <c r="BI3" i="21"/>
  <c r="BH3" i="21"/>
  <c r="BG3" i="21"/>
  <c r="BF3" i="21"/>
  <c r="BE3" i="21"/>
  <c r="BD3" i="21"/>
  <c r="BC3" i="21"/>
  <c r="BB3" i="21"/>
  <c r="BA3" i="21"/>
  <c r="AZ3" i="21"/>
  <c r="N10" i="6"/>
  <c r="N12" i="6"/>
  <c r="N13" i="6"/>
  <c r="N14" i="6"/>
  <c r="N15" i="6"/>
  <c r="N16" i="6"/>
  <c r="N17" i="6"/>
  <c r="N18" i="6"/>
  <c r="N19" i="6"/>
  <c r="N20" i="6"/>
  <c r="N21" i="6"/>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5" i="1"/>
  <c r="AQ5" i="1"/>
  <c r="AQ6" i="1"/>
  <c r="AQ7" i="1"/>
  <c r="AQ8" i="1"/>
  <c r="AQ9" i="1"/>
  <c r="AQ10" i="1"/>
  <c r="AQ11" i="1"/>
  <c r="AQ12" i="1"/>
  <c r="AQ13" i="1"/>
  <c r="AQ14" i="1"/>
  <c r="AQ15" i="1"/>
  <c r="AQ16" i="1"/>
  <c r="AQ17" i="1"/>
  <c r="AQ18" i="1"/>
  <c r="AQ19" i="1"/>
  <c r="AQ20" i="1"/>
  <c r="AQ21" i="1"/>
  <c r="AQ22" i="1"/>
  <c r="AQ23" i="1"/>
  <c r="AQ24" i="1"/>
  <c r="AP13" i="1"/>
  <c r="AF13" i="1" s="1"/>
  <c r="AP14" i="1"/>
  <c r="AF14" i="1" s="1"/>
  <c r="AP15" i="1"/>
  <c r="AF15" i="1" s="1"/>
  <c r="AP16" i="1"/>
  <c r="AF16" i="1" s="1"/>
  <c r="AP17" i="1"/>
  <c r="AF17" i="1" s="1"/>
  <c r="AP18" i="1"/>
  <c r="AF18" i="1" s="1"/>
  <c r="AP19" i="1"/>
  <c r="AF19" i="1" s="1"/>
  <c r="N22" i="6" l="1"/>
  <c r="P26" i="6"/>
  <c r="Q21" i="6"/>
  <c r="Q19" i="6"/>
  <c r="P14" i="6"/>
  <c r="P22" i="6"/>
  <c r="P13" i="6"/>
  <c r="P21" i="6"/>
  <c r="P12" i="6"/>
  <c r="P10" i="6"/>
  <c r="P9" i="6"/>
  <c r="N25" i="6"/>
  <c r="N24" i="6"/>
  <c r="N23" i="6"/>
  <c r="N26" i="6"/>
  <c r="P25" i="6"/>
  <c r="P24" i="6"/>
  <c r="P23" i="6"/>
  <c r="P20" i="6"/>
  <c r="Q6" i="6"/>
  <c r="Q15" i="6"/>
  <c r="Q10" i="6"/>
  <c r="Q23" i="6"/>
  <c r="Q18" i="6"/>
  <c r="Q20" i="6"/>
  <c r="Q17" i="6"/>
  <c r="Q11" i="6"/>
  <c r="Q13" i="6"/>
  <c r="Q16" i="6"/>
  <c r="Q12" i="6"/>
  <c r="Q22" i="6"/>
  <c r="Q14" i="6"/>
  <c r="Q8" i="6"/>
  <c r="O7" i="6"/>
  <c r="Q7" i="6"/>
  <c r="Q9" i="6"/>
  <c r="BF45" i="22"/>
  <c r="P6" i="6"/>
  <c r="P11" i="6"/>
  <c r="P8" i="6"/>
  <c r="O6" i="6"/>
  <c r="BO45" i="21"/>
  <c r="O10" i="6"/>
  <c r="O9" i="6"/>
  <c r="B12" i="6"/>
  <c r="B43" i="6" s="1"/>
  <c r="U21" i="6"/>
  <c r="P21" i="24"/>
  <c r="O11" i="6"/>
  <c r="O13" i="6"/>
  <c r="N11" i="6"/>
  <c r="AU20" i="21"/>
  <c r="N9" i="6"/>
  <c r="N8" i="6"/>
  <c r="N7" i="6"/>
  <c r="N23" i="24"/>
  <c r="AU18" i="21"/>
  <c r="AU17" i="21"/>
  <c r="AU17" i="22"/>
  <c r="AU24" i="21"/>
  <c r="AU16" i="21"/>
  <c r="AU16" i="22"/>
  <c r="AU23" i="21"/>
  <c r="AU15" i="21"/>
  <c r="AU15" i="22"/>
  <c r="AU24" i="23"/>
  <c r="AU19" i="21"/>
  <c r="AU22" i="21"/>
  <c r="AU14" i="21"/>
  <c r="AU14" i="22"/>
  <c r="AU23" i="23"/>
  <c r="AU21" i="21"/>
  <c r="AU13" i="21"/>
  <c r="AU13" i="22"/>
  <c r="AU22" i="23"/>
  <c r="O23" i="24"/>
  <c r="P19" i="24"/>
  <c r="M23" i="24"/>
  <c r="P20" i="24"/>
  <c r="L23" i="24"/>
  <c r="P18" i="24"/>
  <c r="AS23" i="23"/>
  <c r="AS22" i="23"/>
  <c r="AS13" i="22"/>
  <c r="AS14" i="22"/>
  <c r="AT17" i="22"/>
  <c r="AT23" i="21"/>
  <c r="AS13" i="21"/>
  <c r="AS14" i="21"/>
  <c r="AS15" i="21"/>
  <c r="AS16" i="21"/>
  <c r="AS24" i="23"/>
  <c r="AS15" i="22"/>
  <c r="AS16" i="22"/>
  <c r="AT17" i="21"/>
  <c r="AT19" i="21"/>
  <c r="AT20" i="21"/>
  <c r="AS24" i="21"/>
  <c r="AS18" i="21"/>
  <c r="AS21" i="21"/>
  <c r="AS22" i="21"/>
  <c r="P23" i="24" l="1"/>
  <c r="P27" i="24" s="1"/>
  <c r="U11" i="6"/>
  <c r="AH58" i="6"/>
  <c r="AH59" i="6"/>
  <c r="AH60" i="6"/>
  <c r="AH61" i="6"/>
  <c r="AH62" i="6"/>
  <c r="AH63" i="6"/>
  <c r="AH64" i="6"/>
  <c r="AH65" i="6"/>
  <c r="AH66" i="6"/>
  <c r="AH67" i="6"/>
  <c r="AH68" i="6"/>
  <c r="AH69" i="6"/>
  <c r="AH57" i="6"/>
  <c r="AG69" i="6"/>
  <c r="AG58" i="6"/>
  <c r="AG59" i="6"/>
  <c r="AG60" i="6"/>
  <c r="AG61" i="6"/>
  <c r="AG62" i="6"/>
  <c r="AG63" i="6"/>
  <c r="AG64" i="6"/>
  <c r="AG65" i="6"/>
  <c r="AG66" i="6"/>
  <c r="AG67" i="6"/>
  <c r="AG68" i="6"/>
  <c r="AG57" i="6"/>
  <c r="U6" i="6" l="1"/>
  <c r="U9" i="6"/>
  <c r="U4" i="6"/>
  <c r="U8" i="6"/>
  <c r="U7" i="6"/>
  <c r="U10" i="6"/>
  <c r="U15" i="6"/>
  <c r="U5" i="6"/>
  <c r="U16" i="6"/>
  <c r="U14" i="6"/>
  <c r="U13" i="6"/>
  <c r="U12" i="6"/>
  <c r="AD67" i="6"/>
  <c r="AC67" i="6"/>
  <c r="AB67" i="6"/>
  <c r="AA67" i="6"/>
  <c r="Z67" i="6"/>
  <c r="Y67" i="6"/>
  <c r="X67" i="6"/>
  <c r="W67" i="6"/>
  <c r="V67" i="6"/>
  <c r="U67" i="6"/>
  <c r="T67" i="6"/>
  <c r="S67" i="6"/>
  <c r="AD66" i="6"/>
  <c r="AC66" i="6"/>
  <c r="AB66" i="6"/>
  <c r="AA66" i="6"/>
  <c r="Z66" i="6"/>
  <c r="Y66" i="6"/>
  <c r="X66" i="6"/>
  <c r="W66" i="6"/>
  <c r="V66" i="6"/>
  <c r="U66" i="6"/>
  <c r="T66" i="6"/>
  <c r="S66" i="6"/>
  <c r="AD65" i="6"/>
  <c r="AC65" i="6"/>
  <c r="AB65" i="6"/>
  <c r="AA65" i="6"/>
  <c r="Z65" i="6"/>
  <c r="Y65" i="6"/>
  <c r="X65" i="6"/>
  <c r="W65" i="6"/>
  <c r="V65" i="6"/>
  <c r="U65" i="6"/>
  <c r="T65" i="6"/>
  <c r="S65" i="6"/>
  <c r="AD64" i="6"/>
  <c r="AC64" i="6"/>
  <c r="AB64" i="6"/>
  <c r="AA64" i="6"/>
  <c r="Z64" i="6"/>
  <c r="Y64" i="6"/>
  <c r="X64" i="6"/>
  <c r="W64" i="6"/>
  <c r="V64" i="6"/>
  <c r="U64" i="6"/>
  <c r="T64" i="6"/>
  <c r="S64" i="6"/>
  <c r="AD63" i="6"/>
  <c r="AC63" i="6"/>
  <c r="AB63" i="6"/>
  <c r="AA63" i="6"/>
  <c r="Z63" i="6"/>
  <c r="Y63" i="6"/>
  <c r="X63" i="6"/>
  <c r="W63" i="6"/>
  <c r="V63" i="6"/>
  <c r="U63" i="6"/>
  <c r="T63" i="6"/>
  <c r="S63" i="6"/>
  <c r="AD59" i="6"/>
  <c r="AC59" i="6"/>
  <c r="AB59" i="6"/>
  <c r="AA59" i="6"/>
  <c r="Z59" i="6"/>
  <c r="Y59" i="6"/>
  <c r="X59" i="6"/>
  <c r="W59" i="6"/>
  <c r="V59" i="6"/>
  <c r="U59" i="6"/>
  <c r="T59" i="6"/>
  <c r="S59" i="6"/>
  <c r="AD58" i="6"/>
  <c r="AC58" i="6"/>
  <c r="AB58" i="6"/>
  <c r="AA58" i="6"/>
  <c r="Z58" i="6"/>
  <c r="Y58" i="6"/>
  <c r="X58" i="6"/>
  <c r="W58" i="6"/>
  <c r="V58" i="6"/>
  <c r="U58" i="6"/>
  <c r="T58" i="6"/>
  <c r="S58" i="6"/>
  <c r="AD57" i="6"/>
  <c r="AC57" i="6"/>
  <c r="AB57" i="6"/>
  <c r="AA57" i="6"/>
  <c r="Z57" i="6"/>
  <c r="Y57" i="6"/>
  <c r="X57" i="6"/>
  <c r="W57" i="6"/>
  <c r="V57" i="6"/>
  <c r="U57" i="6"/>
  <c r="T57" i="6"/>
  <c r="S57" i="6"/>
  <c r="AD56" i="6"/>
  <c r="AC56" i="6"/>
  <c r="AB56" i="6"/>
  <c r="AA56" i="6"/>
  <c r="Z56" i="6"/>
  <c r="Y56" i="6"/>
  <c r="X56" i="6"/>
  <c r="W56" i="6"/>
  <c r="V56" i="6"/>
  <c r="U56" i="6"/>
  <c r="T56" i="6"/>
  <c r="S56" i="6"/>
  <c r="AD55" i="6"/>
  <c r="AC55" i="6"/>
  <c r="AB55" i="6"/>
  <c r="AA55" i="6"/>
  <c r="Z55" i="6"/>
  <c r="Y55" i="6"/>
  <c r="X55" i="6"/>
  <c r="W55" i="6"/>
  <c r="V55" i="6"/>
  <c r="U55" i="6"/>
  <c r="T55" i="6"/>
  <c r="S55" i="6"/>
  <c r="P56" i="6"/>
  <c r="P57" i="6"/>
  <c r="P58" i="6"/>
  <c r="P59" i="6"/>
  <c r="P60" i="6"/>
  <c r="P61" i="6"/>
  <c r="P62" i="6"/>
  <c r="P55" i="6"/>
  <c r="O56" i="6"/>
  <c r="O57" i="6"/>
  <c r="O58" i="6"/>
  <c r="O59" i="6"/>
  <c r="O60" i="6"/>
  <c r="O61" i="6"/>
  <c r="O62" i="6"/>
  <c r="O55" i="6"/>
  <c r="W39" i="6" l="1"/>
  <c r="X32" i="6"/>
  <c r="X33" i="6" s="1"/>
  <c r="X34" i="6" s="1"/>
  <c r="X35" i="6" s="1"/>
  <c r="X36" i="6" s="1"/>
  <c r="W32" i="6"/>
  <c r="S47" i="6"/>
  <c r="S46" i="6"/>
  <c r="S45" i="6"/>
  <c r="S44" i="6"/>
  <c r="S43" i="6"/>
  <c r="M7" i="6"/>
  <c r="M8" i="6" s="1"/>
  <c r="M9" i="6" s="1"/>
  <c r="M10" i="6" s="1"/>
  <c r="M11" i="6" s="1"/>
  <c r="M12" i="6" s="1"/>
  <c r="M13" i="6" s="1"/>
  <c r="M14" i="6" s="1"/>
  <c r="M15" i="6" s="1"/>
  <c r="M16" i="6" s="1"/>
  <c r="M17" i="6" s="1"/>
  <c r="M18" i="6" s="1"/>
  <c r="M19" i="6" s="1"/>
  <c r="M20" i="6" s="1"/>
  <c r="M21" i="6" s="1"/>
  <c r="M22" i="6" s="1"/>
  <c r="M23" i="6" s="1"/>
  <c r="M24" i="6" s="1"/>
  <c r="M25" i="6" s="1"/>
  <c r="M26" i="6" s="1"/>
  <c r="N65" i="6"/>
  <c r="B22" i="6" l="1"/>
  <c r="AJ41" i="6"/>
  <c r="Y38" i="6"/>
  <c r="AB32" i="6"/>
  <c r="AG38" i="6"/>
  <c r="AD31" i="6"/>
  <c r="AG43" i="6"/>
  <c r="AH43" i="6"/>
  <c r="AA39" i="6"/>
  <c r="AH42" i="6"/>
  <c r="AA32" i="6"/>
  <c r="AI41" i="6"/>
  <c r="AC31" i="6"/>
  <c r="AI40" i="6"/>
  <c r="AE39" i="6"/>
  <c r="AJ40" i="6"/>
  <c r="AB39" i="6"/>
  <c r="AF38" i="6"/>
  <c r="AJ39" i="6"/>
  <c r="Z32" i="6"/>
  <c r="AB38" i="6"/>
  <c r="AJ32" i="6"/>
  <c r="AA38" i="6"/>
  <c r="AI32" i="6"/>
  <c r="AF44" i="6"/>
  <c r="AG42" i="6"/>
  <c r="AH41" i="6"/>
  <c r="AI39" i="6"/>
  <c r="Z39" i="6"/>
  <c r="Z31" i="6"/>
  <c r="AH32" i="6"/>
  <c r="Y31" i="6"/>
  <c r="AG32" i="6"/>
  <c r="AE38" i="6"/>
  <c r="AF43" i="6"/>
  <c r="AG41" i="6"/>
  <c r="AH40" i="6"/>
  <c r="AJ38" i="6"/>
  <c r="Z38" i="6"/>
  <c r="AB31" i="6"/>
  <c r="AF32" i="6"/>
  <c r="AJ31" i="6"/>
  <c r="AA31" i="6"/>
  <c r="AE32" i="6"/>
  <c r="AI31" i="6"/>
  <c r="AE43" i="6"/>
  <c r="AF42" i="6"/>
  <c r="AG40" i="6"/>
  <c r="AH39" i="6"/>
  <c r="AJ44" i="6"/>
  <c r="AD32" i="6"/>
  <c r="AH31" i="6"/>
  <c r="AC32" i="6"/>
  <c r="AG31" i="6"/>
  <c r="AE42" i="6"/>
  <c r="AF41" i="6"/>
  <c r="AG39" i="6"/>
  <c r="AI38" i="6"/>
  <c r="AJ43" i="6"/>
  <c r="Y32" i="6"/>
  <c r="AD39" i="6"/>
  <c r="AF31" i="6"/>
  <c r="AC39" i="6"/>
  <c r="AE31" i="6"/>
  <c r="AE41" i="6"/>
  <c r="AF40" i="6"/>
  <c r="AH38" i="6"/>
  <c r="AI43" i="6"/>
  <c r="AJ42" i="6"/>
  <c r="Y39" i="6"/>
  <c r="AD38" i="6"/>
  <c r="AC38" i="6"/>
  <c r="AE40" i="6"/>
  <c r="AF39" i="6"/>
  <c r="AH44" i="6"/>
  <c r="AI42" i="6"/>
  <c r="W40" i="6"/>
  <c r="Z40" i="6" s="1"/>
  <c r="W33" i="6"/>
  <c r="AJ33" i="6" s="1"/>
  <c r="W41" i="6"/>
  <c r="Z41" i="6" s="1"/>
  <c r="D22" i="6" l="1"/>
  <c r="B23" i="6"/>
  <c r="B15" i="28" s="1"/>
  <c r="B18" i="28" s="1"/>
  <c r="B19" i="28" s="1"/>
  <c r="AB40" i="6"/>
  <c r="Y33" i="6"/>
  <c r="AB33" i="6"/>
  <c r="Y41" i="6"/>
  <c r="AC33" i="6"/>
  <c r="AG33" i="6"/>
  <c r="AD41" i="6"/>
  <c r="AC41" i="6"/>
  <c r="AI33" i="6"/>
  <c r="AA40" i="6"/>
  <c r="AA33" i="6"/>
  <c r="Y40" i="6"/>
  <c r="AF33" i="6"/>
  <c r="AA41" i="6"/>
  <c r="Z33" i="6"/>
  <c r="AD40" i="6"/>
  <c r="AE33" i="6"/>
  <c r="AC40" i="6"/>
  <c r="AB41" i="6"/>
  <c r="AD33" i="6"/>
  <c r="AH33" i="6"/>
  <c r="W42" i="6"/>
  <c r="W34" i="6"/>
  <c r="B45" i="6"/>
  <c r="B14" i="6"/>
  <c r="B13" i="6"/>
  <c r="X9" i="28" l="1"/>
  <c r="X71" i="28"/>
  <c r="X16" i="28"/>
  <c r="X39" i="28"/>
  <c r="X5" i="28"/>
  <c r="Y5" i="28" s="1"/>
  <c r="X10" i="28"/>
  <c r="X19" i="28"/>
  <c r="X18" i="28"/>
  <c r="X15" i="28"/>
  <c r="X45" i="28"/>
  <c r="U52" i="28"/>
  <c r="U59" i="28"/>
  <c r="U66" i="28"/>
  <c r="U73" i="28"/>
  <c r="U9" i="28"/>
  <c r="U16" i="28"/>
  <c r="U23" i="28"/>
  <c r="U38" i="28"/>
  <c r="U53" i="28"/>
  <c r="V53" i="28" s="1"/>
  <c r="R75" i="28"/>
  <c r="R11" i="28"/>
  <c r="R58" i="28"/>
  <c r="R73" i="28"/>
  <c r="R9" i="28"/>
  <c r="R40" i="28"/>
  <c r="R71" i="28"/>
  <c r="R7" i="28"/>
  <c r="R62" i="28"/>
  <c r="R38" i="28"/>
  <c r="U6" i="28"/>
  <c r="U21" i="28"/>
  <c r="R43" i="28"/>
  <c r="R39" i="28"/>
  <c r="R64" i="28"/>
  <c r="X31" i="28"/>
  <c r="U18" i="28"/>
  <c r="R6" i="28"/>
  <c r="R25" i="28"/>
  <c r="R5" i="28"/>
  <c r="S5" i="28" s="1"/>
  <c r="X28" i="28"/>
  <c r="U67" i="28"/>
  <c r="U31" i="28"/>
  <c r="R17" i="28"/>
  <c r="X43" i="28"/>
  <c r="X70" i="28"/>
  <c r="X68" i="28"/>
  <c r="X76" i="28"/>
  <c r="X8" i="28"/>
  <c r="X72" i="28"/>
  <c r="X7" i="28"/>
  <c r="X37" i="28"/>
  <c r="U44" i="28"/>
  <c r="U51" i="28"/>
  <c r="U58" i="28"/>
  <c r="U65" i="28"/>
  <c r="U72" i="28"/>
  <c r="U8" i="28"/>
  <c r="U15" i="28"/>
  <c r="U30" i="28"/>
  <c r="U45" i="28"/>
  <c r="V45" i="28" s="1"/>
  <c r="R67" i="28"/>
  <c r="R69" i="28"/>
  <c r="R50" i="28"/>
  <c r="R65" i="28"/>
  <c r="S65" i="28" s="1"/>
  <c r="R29" i="28"/>
  <c r="R32" i="28"/>
  <c r="R63" i="28"/>
  <c r="R77" i="28"/>
  <c r="R54" i="28"/>
  <c r="R49" i="28"/>
  <c r="R45" i="28"/>
  <c r="U48" i="28"/>
  <c r="R41" i="28"/>
  <c r="S41" i="28" s="1"/>
  <c r="R30" i="28"/>
  <c r="R35" i="28"/>
  <c r="R12" i="28"/>
  <c r="U28" i="28"/>
  <c r="U69" i="28"/>
  <c r="R60" i="28"/>
  <c r="X75" i="28"/>
  <c r="X17" i="28"/>
  <c r="Y17" i="28" s="1"/>
  <c r="U17" i="28"/>
  <c r="R20" i="28"/>
  <c r="X60" i="28"/>
  <c r="X59" i="28"/>
  <c r="X67" i="28"/>
  <c r="X74" i="28"/>
  <c r="X73" i="28"/>
  <c r="Y73" i="28" s="1"/>
  <c r="X63" i="28"/>
  <c r="X14" i="28"/>
  <c r="X29" i="28"/>
  <c r="U36" i="28"/>
  <c r="U43" i="28"/>
  <c r="U50" i="28"/>
  <c r="U57" i="28"/>
  <c r="U64" i="28"/>
  <c r="U71" i="28"/>
  <c r="U7" i="28"/>
  <c r="U22" i="28"/>
  <c r="U37" i="28"/>
  <c r="V37" i="28" s="1"/>
  <c r="R59" i="28"/>
  <c r="R53" i="28"/>
  <c r="R42" i="28"/>
  <c r="R57" i="28"/>
  <c r="R68" i="28"/>
  <c r="R24" i="28"/>
  <c r="R55" i="28"/>
  <c r="R61" i="28"/>
  <c r="R46" i="28"/>
  <c r="R34" i="28"/>
  <c r="R47" i="28"/>
  <c r="U55" i="28"/>
  <c r="R26" i="28"/>
  <c r="R8" i="28"/>
  <c r="R18" i="28"/>
  <c r="S18" i="28" s="1"/>
  <c r="R22" i="28"/>
  <c r="X61" i="28"/>
  <c r="U54" i="28"/>
  <c r="R56" i="28"/>
  <c r="X22" i="28"/>
  <c r="U74" i="28"/>
  <c r="U61" i="28"/>
  <c r="R66" i="28"/>
  <c r="R15" i="28"/>
  <c r="X57" i="28"/>
  <c r="X34" i="28"/>
  <c r="X51" i="28"/>
  <c r="X50" i="28"/>
  <c r="X58" i="28"/>
  <c r="X65" i="28"/>
  <c r="X64" i="28"/>
  <c r="X54" i="28"/>
  <c r="X6" i="28"/>
  <c r="Y6" i="28" s="1"/>
  <c r="X21" i="28"/>
  <c r="U76" i="28"/>
  <c r="U35" i="28"/>
  <c r="U42" i="28"/>
  <c r="U49" i="28"/>
  <c r="U56" i="28"/>
  <c r="U63" i="28"/>
  <c r="U5" i="28"/>
  <c r="V5" i="28" s="1"/>
  <c r="U14" i="28"/>
  <c r="U29" i="28"/>
  <c r="R51" i="28"/>
  <c r="R37" i="28"/>
  <c r="R36" i="28"/>
  <c r="R16" i="28"/>
  <c r="U41" i="28"/>
  <c r="R72" i="28"/>
  <c r="S72" i="28" s="1"/>
  <c r="R21" i="28"/>
  <c r="R28" i="28"/>
  <c r="R31" i="28"/>
  <c r="S31" i="28" s="1"/>
  <c r="X30" i="28"/>
  <c r="X36" i="28"/>
  <c r="U25" i="28"/>
  <c r="R10" i="28"/>
  <c r="R23" i="28"/>
  <c r="X12" i="28"/>
  <c r="X53" i="28"/>
  <c r="U46" i="28"/>
  <c r="R48" i="28"/>
  <c r="X20" i="28"/>
  <c r="X48" i="28"/>
  <c r="X42" i="28"/>
  <c r="X41" i="28"/>
  <c r="X49" i="28"/>
  <c r="X56" i="28"/>
  <c r="X55" i="28"/>
  <c r="X44" i="28"/>
  <c r="X77" i="28"/>
  <c r="X13" i="28"/>
  <c r="U12" i="28"/>
  <c r="U27" i="28"/>
  <c r="U34" i="28"/>
  <c r="U70" i="28"/>
  <c r="R13" i="28"/>
  <c r="R76" i="28"/>
  <c r="X66" i="28"/>
  <c r="Y66" i="28" s="1"/>
  <c r="X23" i="28"/>
  <c r="X38" i="28"/>
  <c r="Y38" i="28" s="1"/>
  <c r="U75" i="28"/>
  <c r="U32" i="28"/>
  <c r="V32" i="28" s="1"/>
  <c r="R74" i="28"/>
  <c r="S74" i="28" s="1"/>
  <c r="R14" i="28"/>
  <c r="X52" i="28"/>
  <c r="X27" i="28"/>
  <c r="U10" i="28"/>
  <c r="R52" i="28"/>
  <c r="R44" i="28"/>
  <c r="X25" i="28"/>
  <c r="U13" i="28"/>
  <c r="X33" i="28"/>
  <c r="X32" i="28"/>
  <c r="Y32" i="28" s="1"/>
  <c r="X40" i="28"/>
  <c r="X47" i="28"/>
  <c r="X46" i="28"/>
  <c r="Y46" i="28" s="1"/>
  <c r="X35" i="28"/>
  <c r="X69" i="28"/>
  <c r="Y69" i="28" s="1"/>
  <c r="U60" i="28"/>
  <c r="U68" i="28"/>
  <c r="V68" i="28" s="1"/>
  <c r="U19" i="28"/>
  <c r="U26" i="28"/>
  <c r="U33" i="28"/>
  <c r="U40" i="28"/>
  <c r="U47" i="28"/>
  <c r="U62" i="28"/>
  <c r="V62" i="28" s="1"/>
  <c r="U77" i="28"/>
  <c r="V77" i="28" s="1"/>
  <c r="R33" i="28"/>
  <c r="S33" i="28" s="1"/>
  <c r="X62" i="28"/>
  <c r="X24" i="28"/>
  <c r="X26" i="28"/>
  <c r="U11" i="28"/>
  <c r="U39" i="28"/>
  <c r="V39" i="28" s="1"/>
  <c r="R27" i="28"/>
  <c r="X11" i="28"/>
  <c r="U20" i="28"/>
  <c r="U24" i="28"/>
  <c r="V24" i="28" s="1"/>
  <c r="R19" i="28"/>
  <c r="R70" i="28"/>
  <c r="S70" i="28" s="1"/>
  <c r="D23" i="6"/>
  <c r="B25" i="25"/>
  <c r="B27" i="25" s="1"/>
  <c r="B5" i="22"/>
  <c r="B5" i="21"/>
  <c r="B5" i="23"/>
  <c r="AI34" i="6"/>
  <c r="AB34" i="6"/>
  <c r="AC34" i="6"/>
  <c r="Y34" i="6"/>
  <c r="AJ34" i="6"/>
  <c r="AG34" i="6"/>
  <c r="AD34" i="6"/>
  <c r="Z34" i="6"/>
  <c r="AH34" i="6"/>
  <c r="AE34" i="6"/>
  <c r="AA34" i="6"/>
  <c r="AF34" i="6"/>
  <c r="AC42" i="6"/>
  <c r="Y42" i="6"/>
  <c r="AD42" i="6"/>
  <c r="Z42" i="6"/>
  <c r="AA42" i="6"/>
  <c r="AB42" i="6"/>
  <c r="W43" i="6"/>
  <c r="W35" i="6"/>
  <c r="B48" i="6"/>
  <c r="B47" i="6"/>
  <c r="B5" i="1"/>
  <c r="B15" i="6"/>
  <c r="B19" i="6" s="1"/>
  <c r="B29" i="6" s="1"/>
  <c r="Y33" i="28" l="1"/>
  <c r="AP11" i="1"/>
  <c r="AF11" i="1" s="1"/>
  <c r="AP12" i="1"/>
  <c r="AF12" i="1" s="1"/>
  <c r="AP8" i="21"/>
  <c r="AP12" i="21"/>
  <c r="Y10" i="28"/>
  <c r="Y62" i="28"/>
  <c r="Y40" i="28"/>
  <c r="Y8" i="28"/>
  <c r="Y20" i="28"/>
  <c r="Y24" i="28"/>
  <c r="Y77" i="28"/>
  <c r="Y52" i="28"/>
  <c r="Y30" i="28"/>
  <c r="Y75" i="28"/>
  <c r="Y50" i="28"/>
  <c r="Y22" i="28"/>
  <c r="Y18" i="28"/>
  <c r="Y11" i="28"/>
  <c r="Y35" i="28"/>
  <c r="Y26" i="28"/>
  <c r="Y13" i="28"/>
  <c r="Y64" i="28"/>
  <c r="Y16" i="28"/>
  <c r="Y72" i="28"/>
  <c r="Y28" i="28"/>
  <c r="Y55" i="28"/>
  <c r="Y49" i="28"/>
  <c r="Y57" i="28"/>
  <c r="Y61" i="28"/>
  <c r="Y47" i="28"/>
  <c r="Y44" i="28"/>
  <c r="Y56" i="28"/>
  <c r="Y53" i="28"/>
  <c r="Y51" i="28"/>
  <c r="Y74" i="28"/>
  <c r="Y76" i="28"/>
  <c r="Y19" i="28"/>
  <c r="Y25" i="28"/>
  <c r="Y12" i="28"/>
  <c r="Y21" i="28"/>
  <c r="Y34" i="28"/>
  <c r="Y67" i="28"/>
  <c r="Y68" i="28"/>
  <c r="Y41" i="28"/>
  <c r="Y59" i="28"/>
  <c r="Y70" i="28"/>
  <c r="Y42" i="28"/>
  <c r="Y54" i="28"/>
  <c r="Y60" i="28"/>
  <c r="Y43" i="28"/>
  <c r="Y39" i="28"/>
  <c r="Y23" i="28"/>
  <c r="Y48" i="28"/>
  <c r="Y29" i="28"/>
  <c r="Y37" i="28"/>
  <c r="Y31" i="28"/>
  <c r="Y27" i="28"/>
  <c r="Y36" i="28"/>
  <c r="Y65" i="28"/>
  <c r="Y14" i="28"/>
  <c r="Y7" i="28"/>
  <c r="Y45" i="28"/>
  <c r="Y71" i="28"/>
  <c r="Y58" i="28"/>
  <c r="Y63" i="28"/>
  <c r="Y15" i="28"/>
  <c r="Y9" i="28"/>
  <c r="S21" i="28"/>
  <c r="V54" i="28"/>
  <c r="S19" i="28"/>
  <c r="V29" i="28"/>
  <c r="S12" i="28"/>
  <c r="S55" i="28"/>
  <c r="V74" i="28"/>
  <c r="V70" i="28"/>
  <c r="S59" i="28"/>
  <c r="V33" i="28"/>
  <c r="S26" i="28"/>
  <c r="S42" i="28"/>
  <c r="S14" i="28"/>
  <c r="V20" i="28"/>
  <c r="S27" i="28"/>
  <c r="V75" i="28"/>
  <c r="V11" i="28"/>
  <c r="V26" i="28"/>
  <c r="S36" i="28"/>
  <c r="S8" i="28"/>
  <c r="V7" i="28"/>
  <c r="S30" i="28"/>
  <c r="S13" i="28"/>
  <c r="V46" i="28"/>
  <c r="V60" i="28"/>
  <c r="S56" i="28"/>
  <c r="S23" i="28"/>
  <c r="S16" i="28"/>
  <c r="S63" i="28"/>
  <c r="V19" i="28"/>
  <c r="S76" i="28"/>
  <c r="S68" i="28"/>
  <c r="S51" i="28"/>
  <c r="S46" i="28"/>
  <c r="S6" i="28"/>
  <c r="S61" i="28"/>
  <c r="V10" i="28"/>
  <c r="V22" i="28"/>
  <c r="S48" i="28"/>
  <c r="V67" i="28"/>
  <c r="V47" i="28"/>
  <c r="S44" i="28"/>
  <c r="S52" i="28"/>
  <c r="S10" i="28"/>
  <c r="V56" i="28"/>
  <c r="S66" i="28"/>
  <c r="V49" i="28"/>
  <c r="V17" i="28"/>
  <c r="V35" i="28"/>
  <c r="V55" i="28"/>
  <c r="S57" i="28"/>
  <c r="V64" i="28"/>
  <c r="V48" i="28"/>
  <c r="V72" i="28"/>
  <c r="S43" i="28"/>
  <c r="S9" i="28"/>
  <c r="V16" i="28"/>
  <c r="S28" i="28"/>
  <c r="V76" i="28"/>
  <c r="S47" i="28"/>
  <c r="V57" i="28"/>
  <c r="S60" i="28"/>
  <c r="S45" i="28"/>
  <c r="S50" i="28"/>
  <c r="V65" i="28"/>
  <c r="V21" i="28"/>
  <c r="S73" i="28"/>
  <c r="V9" i="28"/>
  <c r="V34" i="28"/>
  <c r="V14" i="28"/>
  <c r="S34" i="28"/>
  <c r="S53" i="28"/>
  <c r="V50" i="28"/>
  <c r="V69" i="28"/>
  <c r="S49" i="28"/>
  <c r="S69" i="28"/>
  <c r="V58" i="28"/>
  <c r="S25" i="28"/>
  <c r="V6" i="28"/>
  <c r="S58" i="28"/>
  <c r="V73" i="28"/>
  <c r="V27" i="28"/>
  <c r="V43" i="28"/>
  <c r="V28" i="28"/>
  <c r="S54" i="28"/>
  <c r="S67" i="28"/>
  <c r="V51" i="28"/>
  <c r="S38" i="28"/>
  <c r="S11" i="28"/>
  <c r="V66" i="28"/>
  <c r="V40" i="28"/>
  <c r="V13" i="28"/>
  <c r="V12" i="28"/>
  <c r="V41" i="28"/>
  <c r="V63" i="28"/>
  <c r="S15" i="28"/>
  <c r="S22" i="28"/>
  <c r="V36" i="28"/>
  <c r="S77" i="28"/>
  <c r="V44" i="28"/>
  <c r="V18" i="28"/>
  <c r="S62" i="28"/>
  <c r="S75" i="28"/>
  <c r="V59" i="28"/>
  <c r="V25" i="28"/>
  <c r="S20" i="28"/>
  <c r="S35" i="28"/>
  <c r="V30" i="28"/>
  <c r="S17" i="28"/>
  <c r="S7" i="28"/>
  <c r="V52" i="28"/>
  <c r="V61" i="28"/>
  <c r="S24" i="28"/>
  <c r="S32" i="28"/>
  <c r="V15" i="28"/>
  <c r="V31" i="28"/>
  <c r="S64" i="28"/>
  <c r="S71" i="28"/>
  <c r="V38" i="28"/>
  <c r="S37" i="28"/>
  <c r="V42" i="28"/>
  <c r="V71" i="28"/>
  <c r="S29" i="28"/>
  <c r="V8" i="28"/>
  <c r="S39" i="28"/>
  <c r="S40" i="28"/>
  <c r="V23" i="28"/>
  <c r="AP11" i="22"/>
  <c r="AF11" i="22" s="1"/>
  <c r="AP8" i="22"/>
  <c r="AF8" i="22" s="1"/>
  <c r="AP10" i="22"/>
  <c r="AF10" i="22" s="1"/>
  <c r="AP12" i="22"/>
  <c r="AF12" i="22" s="1"/>
  <c r="AP21" i="22"/>
  <c r="AF21" i="22" s="1"/>
  <c r="AP24" i="22"/>
  <c r="AF24" i="22" s="1"/>
  <c r="AP20" i="22"/>
  <c r="AF20" i="22" s="1"/>
  <c r="AP23" i="22"/>
  <c r="AF23" i="22" s="1"/>
  <c r="AP19" i="22"/>
  <c r="AF19" i="22" s="1"/>
  <c r="AP22" i="22"/>
  <c r="AF22" i="22" s="1"/>
  <c r="AP18" i="22"/>
  <c r="AF18" i="22" s="1"/>
  <c r="AP24" i="1"/>
  <c r="AF24" i="1" s="1"/>
  <c r="AP22" i="1"/>
  <c r="AF22" i="1" s="1"/>
  <c r="AP20" i="1"/>
  <c r="AF20" i="1" s="1"/>
  <c r="AP21" i="1"/>
  <c r="AF21" i="1" s="1"/>
  <c r="AP23" i="1"/>
  <c r="AF23" i="1" s="1"/>
  <c r="AP5" i="23"/>
  <c r="AF5" i="23" s="1"/>
  <c r="AP20" i="23"/>
  <c r="AF20" i="23" s="1"/>
  <c r="AP17" i="23"/>
  <c r="AF17" i="23" s="1"/>
  <c r="AP14" i="23"/>
  <c r="AF14" i="23" s="1"/>
  <c r="AP13" i="23"/>
  <c r="AF13" i="23" s="1"/>
  <c r="AP10" i="23"/>
  <c r="AF10" i="23" s="1"/>
  <c r="AP19" i="23"/>
  <c r="AF19" i="23" s="1"/>
  <c r="AP16" i="23"/>
  <c r="AF16" i="23" s="1"/>
  <c r="AP12" i="23"/>
  <c r="AF12" i="23" s="1"/>
  <c r="AP21" i="23"/>
  <c r="AF21" i="23" s="1"/>
  <c r="AP18" i="23"/>
  <c r="AF18" i="23" s="1"/>
  <c r="AP15" i="23"/>
  <c r="AF15" i="23" s="1"/>
  <c r="AP8" i="23"/>
  <c r="AF8" i="23" s="1"/>
  <c r="AP11" i="23"/>
  <c r="AF11" i="23" s="1"/>
  <c r="R5" i="25"/>
  <c r="S5" i="25" s="1"/>
  <c r="T5" i="25"/>
  <c r="AP10" i="21"/>
  <c r="AP11" i="21"/>
  <c r="AP7" i="1"/>
  <c r="AF7" i="1" s="1"/>
  <c r="AP10" i="1"/>
  <c r="AF10" i="1" s="1"/>
  <c r="AP9" i="23"/>
  <c r="AF9" i="23" s="1"/>
  <c r="B6" i="23"/>
  <c r="AP6" i="23"/>
  <c r="AF6" i="23" s="1"/>
  <c r="AP7" i="23"/>
  <c r="AF7" i="23" s="1"/>
  <c r="AP9" i="21"/>
  <c r="AP5" i="21"/>
  <c r="AP6" i="21"/>
  <c r="B6" i="21"/>
  <c r="AP7" i="21"/>
  <c r="AP9" i="22"/>
  <c r="AF9" i="22" s="1"/>
  <c r="AP6" i="22"/>
  <c r="AF6" i="22" s="1"/>
  <c r="AP7" i="22"/>
  <c r="AF7" i="22" s="1"/>
  <c r="AP5" i="22"/>
  <c r="AF5" i="22" s="1"/>
  <c r="B6" i="22"/>
  <c r="AP6" i="1"/>
  <c r="AF6" i="1" s="1"/>
  <c r="AP9" i="1"/>
  <c r="AF9" i="1" s="1"/>
  <c r="AP8" i="1"/>
  <c r="AF8" i="1" s="1"/>
  <c r="AP5" i="1"/>
  <c r="AF5" i="1" s="1"/>
  <c r="AH35" i="6"/>
  <c r="AA35" i="6"/>
  <c r="AI35" i="6"/>
  <c r="Z35" i="6"/>
  <c r="AE35" i="6"/>
  <c r="AB35" i="6"/>
  <c r="AJ35" i="6"/>
  <c r="AF35" i="6"/>
  <c r="AC35" i="6"/>
  <c r="AG35" i="6"/>
  <c r="AD35" i="6"/>
  <c r="Y35" i="6"/>
  <c r="Z43" i="6"/>
  <c r="AB43" i="6"/>
  <c r="AA43" i="6"/>
  <c r="AC43" i="6"/>
  <c r="AD43" i="6"/>
  <c r="Y43" i="6"/>
  <c r="W36" i="6"/>
  <c r="B50" i="6"/>
  <c r="B51" i="6"/>
  <c r="B52" i="6"/>
  <c r="B56" i="6" s="1"/>
  <c r="C31" i="28" s="1"/>
  <c r="D19" i="6"/>
  <c r="B18" i="6"/>
  <c r="D18" i="6" s="1"/>
  <c r="AN8" i="21" l="1"/>
  <c r="AN12" i="21"/>
  <c r="AN10" i="22"/>
  <c r="AN11" i="22"/>
  <c r="AN12" i="22"/>
  <c r="AN8" i="22"/>
  <c r="AN7" i="22"/>
  <c r="AN18" i="22"/>
  <c r="AN19" i="22"/>
  <c r="AN20" i="22"/>
  <c r="AN21" i="22"/>
  <c r="AN22" i="22"/>
  <c r="AN23" i="22"/>
  <c r="AN24" i="22"/>
  <c r="AN6" i="23"/>
  <c r="AN13" i="23"/>
  <c r="AN21" i="23"/>
  <c r="AN14" i="23"/>
  <c r="AN15" i="23"/>
  <c r="AN16" i="23"/>
  <c r="AN8" i="23"/>
  <c r="AN17" i="23"/>
  <c r="AN10" i="23"/>
  <c r="AN18" i="23"/>
  <c r="AN11" i="23"/>
  <c r="AN19" i="23"/>
  <c r="AN12" i="23"/>
  <c r="AN20" i="23"/>
  <c r="U5" i="25"/>
  <c r="Z5" i="25"/>
  <c r="AH8" i="25" s="1"/>
  <c r="Y5" i="25"/>
  <c r="AH7" i="25" s="1"/>
  <c r="X5" i="25"/>
  <c r="AH6" i="25" s="1"/>
  <c r="W5" i="25"/>
  <c r="AH5" i="25" s="1"/>
  <c r="AB5" i="25"/>
  <c r="AH10" i="25" s="1"/>
  <c r="AA5" i="25"/>
  <c r="AH9" i="25" s="1"/>
  <c r="AC5" i="25"/>
  <c r="AH11" i="25" s="1"/>
  <c r="AE52" i="25"/>
  <c r="AE51" i="25"/>
  <c r="AF8" i="21"/>
  <c r="AE8" i="21"/>
  <c r="AR8" i="21"/>
  <c r="AO8" i="21"/>
  <c r="AN5" i="22"/>
  <c r="AN6" i="22"/>
  <c r="AN9" i="22"/>
  <c r="AN7" i="21"/>
  <c r="AF7" i="21" s="1"/>
  <c r="AN9" i="21"/>
  <c r="AF9" i="21" s="1"/>
  <c r="AN10" i="21"/>
  <c r="AR10" i="21" s="1"/>
  <c r="AN11" i="21"/>
  <c r="AF11" i="21" s="1"/>
  <c r="AN5" i="21"/>
  <c r="AN6" i="21"/>
  <c r="AF6" i="21" s="1"/>
  <c r="AN5" i="23"/>
  <c r="AN7" i="23"/>
  <c r="AN9" i="23"/>
  <c r="B26" i="6"/>
  <c r="B27" i="6" s="1"/>
  <c r="BH54" i="21"/>
  <c r="BH48" i="21"/>
  <c r="BH46" i="21"/>
  <c r="BH53" i="21"/>
  <c r="BH56" i="21"/>
  <c r="BH42" i="21"/>
  <c r="BH47" i="21"/>
  <c r="BH51" i="21"/>
  <c r="BH49" i="21"/>
  <c r="BH44" i="21"/>
  <c r="BH45" i="21"/>
  <c r="BH43" i="21"/>
  <c r="BH50" i="21"/>
  <c r="BH52" i="21"/>
  <c r="AZ53" i="22"/>
  <c r="AZ50" i="22"/>
  <c r="AZ44" i="22"/>
  <c r="AZ54" i="22"/>
  <c r="AZ52" i="22"/>
  <c r="AZ46" i="22"/>
  <c r="AZ51" i="22"/>
  <c r="AZ45" i="22"/>
  <c r="AZ47" i="22"/>
  <c r="AZ49" i="22"/>
  <c r="AZ48" i="22"/>
  <c r="AZ43" i="22"/>
  <c r="AZ42" i="22"/>
  <c r="AZ56" i="22"/>
  <c r="AW4" i="22"/>
  <c r="AW4" i="23"/>
  <c r="AW4" i="21"/>
  <c r="BH51" i="23"/>
  <c r="BH54" i="23"/>
  <c r="BH45" i="23"/>
  <c r="BH46" i="23"/>
  <c r="BH56" i="23"/>
  <c r="BH48" i="23"/>
  <c r="BH47" i="23"/>
  <c r="BH44" i="23"/>
  <c r="BH42" i="23"/>
  <c r="BH49" i="23"/>
  <c r="BH50" i="23"/>
  <c r="BH43" i="23"/>
  <c r="BH52" i="23"/>
  <c r="BH53" i="23"/>
  <c r="AI36" i="6"/>
  <c r="AA36" i="6"/>
  <c r="AJ36" i="6"/>
  <c r="AD36" i="6"/>
  <c r="Y36" i="6"/>
  <c r="AH36" i="6"/>
  <c r="AG36" i="6"/>
  <c r="AE36" i="6"/>
  <c r="AF36" i="6"/>
  <c r="AC36" i="6"/>
  <c r="AB36" i="6"/>
  <c r="Z36" i="6"/>
  <c r="W37" i="6"/>
  <c r="B54" i="6"/>
  <c r="B30" i="6"/>
  <c r="B31" i="6"/>
  <c r="AW4" i="1"/>
  <c r="AF12" i="21" l="1"/>
  <c r="AE12" i="21"/>
  <c r="AU12" i="21" s="1"/>
  <c r="AO12" i="21"/>
  <c r="AR12" i="21"/>
  <c r="B55" i="6"/>
  <c r="B31" i="28"/>
  <c r="B15" i="25"/>
  <c r="V5" i="25"/>
  <c r="P6" i="25"/>
  <c r="AE8" i="22"/>
  <c r="AU8" i="22" s="1"/>
  <c r="AO8" i="22"/>
  <c r="AR8" i="22"/>
  <c r="AR12" i="22"/>
  <c r="AE12" i="22"/>
  <c r="AU12" i="22" s="1"/>
  <c r="AO12" i="22"/>
  <c r="AE11" i="22"/>
  <c r="AU11" i="22" s="1"/>
  <c r="AO11" i="22"/>
  <c r="AR11" i="22"/>
  <c r="AE10" i="22"/>
  <c r="AU10" i="22" s="1"/>
  <c r="AO10" i="22"/>
  <c r="AR10" i="22"/>
  <c r="B14" i="25"/>
  <c r="AR23" i="22"/>
  <c r="AE23" i="22"/>
  <c r="AU23" i="22" s="1"/>
  <c r="AO23" i="22"/>
  <c r="AR22" i="22"/>
  <c r="AE22" i="22"/>
  <c r="AU22" i="22" s="1"/>
  <c r="AO22" i="22"/>
  <c r="AE21" i="22"/>
  <c r="AU21" i="22" s="1"/>
  <c r="AO21" i="22"/>
  <c r="AR21" i="22"/>
  <c r="AE24" i="22"/>
  <c r="AU24" i="22" s="1"/>
  <c r="AO24" i="22"/>
  <c r="AR24" i="22"/>
  <c r="AE18" i="22"/>
  <c r="AU18" i="22" s="1"/>
  <c r="AO18" i="22"/>
  <c r="AR18" i="22"/>
  <c r="AO20" i="22"/>
  <c r="AR20" i="22"/>
  <c r="AE20" i="22"/>
  <c r="AU20" i="22" s="1"/>
  <c r="AR19" i="22"/>
  <c r="AO19" i="22"/>
  <c r="AE19" i="22"/>
  <c r="AU19" i="22" s="1"/>
  <c r="AO8" i="23"/>
  <c r="AR8" i="23"/>
  <c r="AE8" i="23"/>
  <c r="AU8" i="23" s="1"/>
  <c r="AE20" i="23"/>
  <c r="AU20" i="23" s="1"/>
  <c r="AO20" i="23"/>
  <c r="AR20" i="23"/>
  <c r="AO16" i="23"/>
  <c r="AR16" i="23"/>
  <c r="AE16" i="23"/>
  <c r="AU16" i="23" s="1"/>
  <c r="AE17" i="23"/>
  <c r="AU17" i="23" s="1"/>
  <c r="AO17" i="23"/>
  <c r="AR17" i="23"/>
  <c r="AR15" i="23"/>
  <c r="AE15" i="23"/>
  <c r="AU15" i="23" s="1"/>
  <c r="AO15" i="23"/>
  <c r="AE14" i="23"/>
  <c r="AU14" i="23" s="1"/>
  <c r="AR14" i="23"/>
  <c r="AO14" i="23"/>
  <c r="AO21" i="23"/>
  <c r="AR21" i="23"/>
  <c r="AE21" i="23"/>
  <c r="AU21" i="23" s="1"/>
  <c r="AR19" i="23"/>
  <c r="AE19" i="23"/>
  <c r="AU19" i="23" s="1"/>
  <c r="AO19" i="23"/>
  <c r="AE11" i="23"/>
  <c r="AU11" i="23" s="1"/>
  <c r="AO11" i="23"/>
  <c r="AR11" i="23"/>
  <c r="AR18" i="23"/>
  <c r="AE18" i="23"/>
  <c r="AU18" i="23" s="1"/>
  <c r="AO18" i="23"/>
  <c r="AO13" i="23"/>
  <c r="AR13" i="23"/>
  <c r="AE13" i="23"/>
  <c r="AU13" i="23" s="1"/>
  <c r="AR12" i="23"/>
  <c r="AE12" i="23"/>
  <c r="AU12" i="23" s="1"/>
  <c r="AO12" i="23"/>
  <c r="AE10" i="23"/>
  <c r="AU10" i="23" s="1"/>
  <c r="AO10" i="23"/>
  <c r="AR10" i="23"/>
  <c r="R6" i="25"/>
  <c r="S6" i="25" s="1"/>
  <c r="P7" i="25"/>
  <c r="Q6" i="25"/>
  <c r="T6" i="25"/>
  <c r="U6" i="25" s="1"/>
  <c r="V6" i="25" s="1"/>
  <c r="B16" i="25"/>
  <c r="AJ7" i="25" s="1"/>
  <c r="AU8" i="21"/>
  <c r="AS8" i="21"/>
  <c r="AT8" i="21"/>
  <c r="B16" i="1"/>
  <c r="B16" i="23"/>
  <c r="AY5" i="23" s="1"/>
  <c r="BB5" i="23" s="1"/>
  <c r="B16" i="22"/>
  <c r="AY5" i="22" s="1"/>
  <c r="B16" i="21"/>
  <c r="AY5" i="21" s="1"/>
  <c r="BH5" i="21" s="1"/>
  <c r="AF5" i="21"/>
  <c r="AO5" i="21"/>
  <c r="M34" i="6"/>
  <c r="M35" i="6" s="1"/>
  <c r="AF10" i="21"/>
  <c r="B33" i="6"/>
  <c r="AO10" i="21"/>
  <c r="AE10" i="21"/>
  <c r="B39" i="6"/>
  <c r="M36" i="6"/>
  <c r="AE11" i="21"/>
  <c r="AU11" i="21" s="1"/>
  <c r="AO11" i="21"/>
  <c r="AR11" i="21"/>
  <c r="M37" i="6"/>
  <c r="B35" i="6"/>
  <c r="B34" i="6"/>
  <c r="AR5" i="23"/>
  <c r="AE5" i="23"/>
  <c r="AU5" i="23" s="1"/>
  <c r="AO5" i="23"/>
  <c r="BJ52" i="23"/>
  <c r="BI52" i="23"/>
  <c r="BJ48" i="23"/>
  <c r="BI48" i="23"/>
  <c r="BJ49" i="23"/>
  <c r="BI49" i="23"/>
  <c r="BI45" i="23"/>
  <c r="BJ45" i="23"/>
  <c r="BB47" i="22"/>
  <c r="BA47" i="22"/>
  <c r="BA54" i="22"/>
  <c r="BB54" i="22"/>
  <c r="BJ43" i="21"/>
  <c r="BI43" i="21"/>
  <c r="BI53" i="21"/>
  <c r="BJ53" i="21"/>
  <c r="BI42" i="23"/>
  <c r="BJ42" i="23"/>
  <c r="BI54" i="23"/>
  <c r="BJ54" i="23"/>
  <c r="AE5" i="22"/>
  <c r="AU5" i="22" s="1"/>
  <c r="AO5" i="22"/>
  <c r="AR5" i="22"/>
  <c r="BB44" i="22"/>
  <c r="BA44" i="22"/>
  <c r="BJ45" i="21"/>
  <c r="BI45" i="21"/>
  <c r="BI46" i="21"/>
  <c r="BJ46" i="21"/>
  <c r="BJ53" i="23"/>
  <c r="BI53" i="23"/>
  <c r="BJ44" i="23"/>
  <c r="BI44" i="23"/>
  <c r="AR6" i="23"/>
  <c r="AE6" i="23"/>
  <c r="AO6" i="23"/>
  <c r="BB56" i="22"/>
  <c r="BA56" i="22"/>
  <c r="BB45" i="22"/>
  <c r="BA45" i="22"/>
  <c r="BA50" i="22"/>
  <c r="BB50" i="22"/>
  <c r="BJ44" i="21"/>
  <c r="BI44" i="21"/>
  <c r="AR6" i="21"/>
  <c r="AO6" i="21"/>
  <c r="AE6" i="21"/>
  <c r="AU6" i="21" s="1"/>
  <c r="AR7" i="23"/>
  <c r="AE7" i="23"/>
  <c r="AU7" i="23" s="1"/>
  <c r="AO7" i="23"/>
  <c r="BJ47" i="23"/>
  <c r="BI47" i="23"/>
  <c r="BJ51" i="23"/>
  <c r="BI51" i="23"/>
  <c r="BB42" i="22"/>
  <c r="BA42" i="22"/>
  <c r="BB51" i="22"/>
  <c r="BA51" i="22"/>
  <c r="AR6" i="22"/>
  <c r="AE6" i="22"/>
  <c r="AU6" i="22" s="1"/>
  <c r="AO6" i="22"/>
  <c r="BJ49" i="21"/>
  <c r="BI49" i="21"/>
  <c r="BJ48" i="21"/>
  <c r="BI48" i="21"/>
  <c r="AQ4" i="21"/>
  <c r="BB43" i="22"/>
  <c r="BA43" i="22"/>
  <c r="BB53" i="22"/>
  <c r="BA53" i="22"/>
  <c r="BJ51" i="21"/>
  <c r="BI51" i="21"/>
  <c r="BJ54" i="21"/>
  <c r="BI54" i="21"/>
  <c r="AQ4" i="23"/>
  <c r="AO7" i="22"/>
  <c r="AR7" i="22"/>
  <c r="AE7" i="22"/>
  <c r="BA46" i="22"/>
  <c r="BB46" i="22"/>
  <c r="BJ52" i="21"/>
  <c r="BI52" i="21"/>
  <c r="BI47" i="21"/>
  <c r="BJ47" i="21"/>
  <c r="AR7" i="21"/>
  <c r="AO7" i="21"/>
  <c r="AE7" i="21"/>
  <c r="AU7" i="21" s="1"/>
  <c r="AR9" i="23"/>
  <c r="AE9" i="23"/>
  <c r="AU9" i="23" s="1"/>
  <c r="AO9" i="23"/>
  <c r="AV4" i="23"/>
  <c r="AN4" i="23" s="1"/>
  <c r="AV4" i="21"/>
  <c r="AN4" i="21" s="1"/>
  <c r="AV4" i="22"/>
  <c r="AN4" i="22" s="1"/>
  <c r="BJ43" i="23"/>
  <c r="BI43" i="23"/>
  <c r="BI46" i="23"/>
  <c r="BJ46" i="23"/>
  <c r="AQ4" i="22"/>
  <c r="BA48" i="22"/>
  <c r="BB48" i="22"/>
  <c r="BB52" i="22"/>
  <c r="BA52" i="22"/>
  <c r="BJ50" i="21"/>
  <c r="BI50" i="21"/>
  <c r="BJ42" i="21"/>
  <c r="BI42" i="21"/>
  <c r="BJ56" i="23"/>
  <c r="BI56" i="23"/>
  <c r="BJ50" i="23"/>
  <c r="BI50" i="23"/>
  <c r="BB49" i="22"/>
  <c r="BA49" i="22"/>
  <c r="AO9" i="22"/>
  <c r="AR9" i="22"/>
  <c r="AE9" i="22"/>
  <c r="AU9" i="22" s="1"/>
  <c r="AR9" i="21"/>
  <c r="AO9" i="21"/>
  <c r="AE9" i="21"/>
  <c r="AU9" i="21" s="1"/>
  <c r="BJ56" i="21"/>
  <c r="BI56" i="21"/>
  <c r="AE5" i="21"/>
  <c r="AR5" i="21"/>
  <c r="AQ4" i="1"/>
  <c r="Z37" i="6"/>
  <c r="AF37" i="6"/>
  <c r="AI37" i="6"/>
  <c r="AC37" i="6"/>
  <c r="AB37" i="6"/>
  <c r="AG37" i="6"/>
  <c r="AH37" i="6"/>
  <c r="AA37" i="6"/>
  <c r="AD37" i="6"/>
  <c r="Y37" i="6"/>
  <c r="AJ37" i="6"/>
  <c r="AE37" i="6"/>
  <c r="AV4" i="1"/>
  <c r="AP4" i="1" s="1"/>
  <c r="B58" i="6"/>
  <c r="B37" i="6"/>
  <c r="B38" i="6"/>
  <c r="AT12" i="21" l="1"/>
  <c r="AS12" i="21"/>
  <c r="B62" i="6"/>
  <c r="BH5" i="22"/>
  <c r="BG5" i="22"/>
  <c r="BF5" i="22"/>
  <c r="BD5" i="22"/>
  <c r="AT12" i="22"/>
  <c r="AS12" i="22"/>
  <c r="AT10" i="22"/>
  <c r="AS10" i="22"/>
  <c r="AT11" i="22"/>
  <c r="AS11" i="22"/>
  <c r="AT8" i="22"/>
  <c r="AS8" i="22"/>
  <c r="BE5" i="22"/>
  <c r="BN5" i="22"/>
  <c r="BT5" i="22"/>
  <c r="BS5" i="22"/>
  <c r="BR5" i="22"/>
  <c r="BQ5" i="22"/>
  <c r="BP5" i="22"/>
  <c r="BO5" i="22"/>
  <c r="AT20" i="22"/>
  <c r="AS20" i="22"/>
  <c r="AS22" i="22"/>
  <c r="AT22" i="22"/>
  <c r="AS24" i="22"/>
  <c r="AT24" i="22"/>
  <c r="AS19" i="22"/>
  <c r="AT19" i="22"/>
  <c r="AT23" i="22"/>
  <c r="AS23" i="22"/>
  <c r="AT18" i="22"/>
  <c r="AS18" i="22"/>
  <c r="AT21" i="22"/>
  <c r="AS21" i="22"/>
  <c r="BM5" i="23"/>
  <c r="BD5" i="23"/>
  <c r="BL5" i="23"/>
  <c r="BK5" i="23"/>
  <c r="BJ5" i="23"/>
  <c r="BI5" i="23"/>
  <c r="BQ5" i="23"/>
  <c r="BP5" i="23"/>
  <c r="BH5" i="23"/>
  <c r="BO5" i="23"/>
  <c r="BG5" i="23"/>
  <c r="BN5" i="23"/>
  <c r="BF5" i="23"/>
  <c r="AT18" i="23"/>
  <c r="AS18" i="23"/>
  <c r="AT19" i="23"/>
  <c r="AS19" i="23"/>
  <c r="AT20" i="23"/>
  <c r="AS20" i="23"/>
  <c r="AS12" i="23"/>
  <c r="AT12" i="23"/>
  <c r="AT14" i="23"/>
  <c r="AS14" i="23"/>
  <c r="AS17" i="23"/>
  <c r="AT17" i="23"/>
  <c r="AT13" i="23"/>
  <c r="AS13" i="23"/>
  <c r="AT21" i="23"/>
  <c r="AS21" i="23"/>
  <c r="AT16" i="23"/>
  <c r="AS16" i="23"/>
  <c r="AT8" i="23"/>
  <c r="AS8" i="23"/>
  <c r="AT15" i="23"/>
  <c r="AS15" i="23"/>
  <c r="AT10" i="23"/>
  <c r="AS10" i="23"/>
  <c r="AS11" i="23"/>
  <c r="AT11" i="23"/>
  <c r="BC5" i="22"/>
  <c r="AU6" i="23"/>
  <c r="AU7" i="22"/>
  <c r="AU5" i="21"/>
  <c r="B59" i="6"/>
  <c r="AI11" i="25"/>
  <c r="AJ6" i="25"/>
  <c r="AJ8" i="25"/>
  <c r="AI6" i="25"/>
  <c r="AI8" i="25"/>
  <c r="AJ5" i="25"/>
  <c r="AI7" i="25"/>
  <c r="AI5" i="25"/>
  <c r="AK28" i="25"/>
  <c r="AK20" i="25"/>
  <c r="AK18" i="25"/>
  <c r="AK19" i="25"/>
  <c r="AK15" i="25"/>
  <c r="AK21" i="25"/>
  <c r="AK22" i="25"/>
  <c r="AK16" i="25"/>
  <c r="AL7" i="25"/>
  <c r="AK7" i="25"/>
  <c r="AK17" i="25"/>
  <c r="AK23" i="25"/>
  <c r="AK24" i="25"/>
  <c r="AK25" i="25"/>
  <c r="AK26" i="25"/>
  <c r="AK27" i="25"/>
  <c r="AI10" i="25"/>
  <c r="AF45" i="25"/>
  <c r="AG45" i="25"/>
  <c r="AH44" i="25"/>
  <c r="AH45" i="25"/>
  <c r="AJ10" i="25"/>
  <c r="R7" i="25"/>
  <c r="S7" i="25" s="1"/>
  <c r="Q7" i="25"/>
  <c r="P8" i="25"/>
  <c r="T7" i="25"/>
  <c r="U7" i="25" s="1"/>
  <c r="V7" i="25" s="1"/>
  <c r="AI9" i="25"/>
  <c r="AJ11" i="25"/>
  <c r="W6" i="25"/>
  <c r="AA6" i="25"/>
  <c r="X6" i="25"/>
  <c r="Y6" i="25"/>
  <c r="Z6" i="25"/>
  <c r="AC6" i="25"/>
  <c r="AB6" i="25"/>
  <c r="AJ9" i="25"/>
  <c r="BG5" i="21"/>
  <c r="BD5" i="21"/>
  <c r="BA5" i="23"/>
  <c r="BC5" i="23"/>
  <c r="D37" i="6"/>
  <c r="B18" i="23"/>
  <c r="B18" i="22"/>
  <c r="B18" i="21"/>
  <c r="M42" i="6"/>
  <c r="B14" i="23"/>
  <c r="B14" i="22"/>
  <c r="B14" i="21"/>
  <c r="B12" i="23"/>
  <c r="B12" i="22"/>
  <c r="B12" i="21"/>
  <c r="B22" i="23"/>
  <c r="B22" i="22"/>
  <c r="B22" i="21"/>
  <c r="B20" i="23"/>
  <c r="B20" i="22"/>
  <c r="B20" i="21"/>
  <c r="D38" i="6"/>
  <c r="B19" i="23"/>
  <c r="B19" i="22"/>
  <c r="B19" i="21"/>
  <c r="B13" i="23"/>
  <c r="B13" i="22"/>
  <c r="B13" i="21"/>
  <c r="AY6" i="23"/>
  <c r="BB6" i="23" s="1"/>
  <c r="M43" i="6"/>
  <c r="BA5" i="22"/>
  <c r="BE5" i="23"/>
  <c r="AU10" i="21"/>
  <c r="BC5" i="21"/>
  <c r="M46" i="6"/>
  <c r="B13" i="1"/>
  <c r="D34" i="6"/>
  <c r="B14" i="1"/>
  <c r="D35" i="6"/>
  <c r="BB5" i="22"/>
  <c r="B12" i="1"/>
  <c r="D33" i="6"/>
  <c r="M38" i="6"/>
  <c r="M39" i="6"/>
  <c r="B20" i="1"/>
  <c r="D39" i="6"/>
  <c r="AY6" i="22"/>
  <c r="AY6" i="21"/>
  <c r="BH6" i="21" s="1"/>
  <c r="BE5" i="21"/>
  <c r="M47" i="6"/>
  <c r="BB5" i="21"/>
  <c r="BF5" i="21"/>
  <c r="BA5" i="21"/>
  <c r="AS10" i="21"/>
  <c r="AT10" i="21"/>
  <c r="M40" i="6"/>
  <c r="M41" i="6"/>
  <c r="AS5" i="23"/>
  <c r="AS11" i="21"/>
  <c r="AT11" i="21"/>
  <c r="L30" i="24"/>
  <c r="M30" i="24" s="1"/>
  <c r="B19" i="1"/>
  <c r="L31" i="24"/>
  <c r="M31" i="24" s="1"/>
  <c r="B18" i="1"/>
  <c r="AT5" i="23"/>
  <c r="AZ5" i="22"/>
  <c r="AZ5" i="21"/>
  <c r="AZ5" i="23"/>
  <c r="AS9" i="22"/>
  <c r="AT9" i="22"/>
  <c r="BD50" i="22"/>
  <c r="BC50" i="22"/>
  <c r="BL45" i="21"/>
  <c r="BK45" i="21"/>
  <c r="BL53" i="21"/>
  <c r="BK53" i="21"/>
  <c r="BL49" i="23"/>
  <c r="BK49" i="23"/>
  <c r="BL56" i="23"/>
  <c r="BK56" i="23"/>
  <c r="BK52" i="21"/>
  <c r="BL52" i="21"/>
  <c r="BL54" i="21"/>
  <c r="BK54" i="21"/>
  <c r="BC51" i="22"/>
  <c r="BD51" i="22"/>
  <c r="AT7" i="23"/>
  <c r="AS7" i="23"/>
  <c r="AS9" i="21"/>
  <c r="AT9" i="21"/>
  <c r="BL50" i="21"/>
  <c r="BK50" i="21"/>
  <c r="AS5" i="21"/>
  <c r="AT5" i="21"/>
  <c r="BL50" i="23"/>
  <c r="BK50" i="23"/>
  <c r="BL43" i="23"/>
  <c r="BK43" i="23"/>
  <c r="BC46" i="22"/>
  <c r="BD46" i="22"/>
  <c r="BL48" i="21"/>
  <c r="BK48" i="21"/>
  <c r="BL44" i="23"/>
  <c r="BK44" i="23"/>
  <c r="BD44" i="22"/>
  <c r="BC44" i="22"/>
  <c r="BC52" i="22"/>
  <c r="BD52" i="22"/>
  <c r="AP4" i="22"/>
  <c r="AS7" i="21"/>
  <c r="AT7" i="21"/>
  <c r="BK51" i="21"/>
  <c r="BL51" i="21"/>
  <c r="BD42" i="22"/>
  <c r="BC42" i="22"/>
  <c r="AS6" i="21"/>
  <c r="AT6" i="21"/>
  <c r="BC45" i="22"/>
  <c r="BD45" i="22"/>
  <c r="BK43" i="21"/>
  <c r="BL43" i="21"/>
  <c r="BL56" i="21"/>
  <c r="BK56" i="21"/>
  <c r="BD49" i="22"/>
  <c r="BC49" i="22"/>
  <c r="BD48" i="22"/>
  <c r="BC48" i="22"/>
  <c r="AP4" i="21"/>
  <c r="AT7" i="22"/>
  <c r="AS7" i="22"/>
  <c r="BL49" i="21"/>
  <c r="BK49" i="21"/>
  <c r="BK53" i="23"/>
  <c r="BL53" i="23"/>
  <c r="BL54" i="23"/>
  <c r="BK54" i="23"/>
  <c r="BD54" i="22"/>
  <c r="BC54" i="22"/>
  <c r="AP4" i="23"/>
  <c r="BC53" i="22"/>
  <c r="BD53" i="22"/>
  <c r="BL51" i="23"/>
  <c r="BK51" i="23"/>
  <c r="BD56" i="22"/>
  <c r="BC56" i="22"/>
  <c r="BL46" i="21"/>
  <c r="BK46" i="21"/>
  <c r="AT5" i="22"/>
  <c r="AS5" i="22"/>
  <c r="BL45" i="23"/>
  <c r="BK45" i="23"/>
  <c r="BL48" i="23"/>
  <c r="BK48" i="23"/>
  <c r="BK47" i="21"/>
  <c r="BL47" i="21"/>
  <c r="AT6" i="22"/>
  <c r="AS6" i="22"/>
  <c r="BL42" i="23"/>
  <c r="BK42" i="23"/>
  <c r="BK42" i="21"/>
  <c r="BL42" i="21"/>
  <c r="BK46" i="23"/>
  <c r="BL46" i="23"/>
  <c r="AT9" i="23"/>
  <c r="AS9" i="23"/>
  <c r="BD43" i="22"/>
  <c r="BC43" i="22"/>
  <c r="BL47" i="23"/>
  <c r="BK47" i="23"/>
  <c r="BL44" i="21"/>
  <c r="BK44" i="21"/>
  <c r="AT6" i="23"/>
  <c r="AS6" i="23"/>
  <c r="BD47" i="22"/>
  <c r="BC47" i="22"/>
  <c r="BK52" i="23"/>
  <c r="BL52" i="23"/>
  <c r="B22" i="1"/>
  <c r="M49" i="6"/>
  <c r="M48" i="6"/>
  <c r="M44" i="6"/>
  <c r="M45" i="6"/>
  <c r="BH6" i="22" l="1"/>
  <c r="BG6" i="22"/>
  <c r="BF6" i="22"/>
  <c r="BD6" i="22"/>
  <c r="BE6" i="22"/>
  <c r="BT6" i="22"/>
  <c r="BS6" i="22"/>
  <c r="BR6" i="22"/>
  <c r="BQ6" i="22"/>
  <c r="BP6" i="22"/>
  <c r="BO6" i="22"/>
  <c r="BN6" i="22"/>
  <c r="BA6" i="23"/>
  <c r="BL6" i="23"/>
  <c r="BK6" i="23"/>
  <c r="BJ6" i="23"/>
  <c r="BQ6" i="23"/>
  <c r="BI6" i="23"/>
  <c r="BH6" i="23"/>
  <c r="BP6" i="23"/>
  <c r="BO6" i="23"/>
  <c r="BG6" i="23"/>
  <c r="BN6" i="23"/>
  <c r="BF6" i="23"/>
  <c r="BM6" i="23"/>
  <c r="BD6" i="23"/>
  <c r="BC6" i="22"/>
  <c r="BE6" i="23"/>
  <c r="AM7" i="25"/>
  <c r="AL10" i="25"/>
  <c r="AK10" i="25"/>
  <c r="AG28" i="25"/>
  <c r="AG21" i="25"/>
  <c r="AG19" i="25"/>
  <c r="AG18" i="25"/>
  <c r="AK5" i="25"/>
  <c r="AG16" i="25"/>
  <c r="AG23" i="25"/>
  <c r="AG22" i="25"/>
  <c r="AG17" i="25"/>
  <c r="AG20" i="25"/>
  <c r="AG15" i="25"/>
  <c r="AL5" i="25"/>
  <c r="AG24" i="25"/>
  <c r="AG25" i="25"/>
  <c r="AG26" i="25"/>
  <c r="AG27" i="25"/>
  <c r="AK9" i="25"/>
  <c r="AL9" i="25"/>
  <c r="AM28" i="25"/>
  <c r="AM19" i="25"/>
  <c r="AM16" i="25"/>
  <c r="AL11" i="25"/>
  <c r="AM17" i="25"/>
  <c r="AK11" i="25"/>
  <c r="AM23" i="25"/>
  <c r="AM22" i="25"/>
  <c r="AM21" i="25"/>
  <c r="AM20" i="25"/>
  <c r="AM18" i="25"/>
  <c r="AM15" i="25"/>
  <c r="AM24" i="25"/>
  <c r="AM25" i="25"/>
  <c r="AM26" i="25"/>
  <c r="AM27" i="25"/>
  <c r="AH28" i="25"/>
  <c r="AH20" i="25"/>
  <c r="AH15" i="25"/>
  <c r="AH21" i="25"/>
  <c r="AH16" i="25"/>
  <c r="AH22" i="25"/>
  <c r="AH18" i="25"/>
  <c r="AH19" i="25"/>
  <c r="AH17" i="25"/>
  <c r="AH23" i="25"/>
  <c r="AH24" i="25"/>
  <c r="AH25" i="25"/>
  <c r="AH26" i="25"/>
  <c r="AH27" i="25"/>
  <c r="AL8" i="25"/>
  <c r="AK8" i="25"/>
  <c r="AI28" i="25"/>
  <c r="AI16" i="25"/>
  <c r="AI17" i="25"/>
  <c r="AI15" i="25"/>
  <c r="AI23" i="25"/>
  <c r="AL6" i="25"/>
  <c r="AI20" i="25"/>
  <c r="AI22" i="25"/>
  <c r="AI19" i="25"/>
  <c r="AI18" i="25"/>
  <c r="AK6" i="25"/>
  <c r="AI21" i="25"/>
  <c r="AI24" i="25"/>
  <c r="AI25" i="25"/>
  <c r="AI26" i="25"/>
  <c r="AI27" i="25"/>
  <c r="T8" i="25"/>
  <c r="U8" i="25" s="1"/>
  <c r="V8" i="25" s="1"/>
  <c r="R8" i="25"/>
  <c r="S8" i="25" s="1"/>
  <c r="P9" i="25"/>
  <c r="Q8" i="25"/>
  <c r="AL28" i="25"/>
  <c r="AL18" i="25"/>
  <c r="AL19" i="25"/>
  <c r="AL15" i="25"/>
  <c r="AL20" i="25"/>
  <c r="AL16" i="25"/>
  <c r="AL17" i="25"/>
  <c r="AL23" i="25"/>
  <c r="AL21" i="25"/>
  <c r="AL22" i="25"/>
  <c r="AL24" i="25"/>
  <c r="AL25" i="25"/>
  <c r="AL26" i="25"/>
  <c r="AL27" i="25"/>
  <c r="AF16" i="25"/>
  <c r="AF20" i="25"/>
  <c r="AF17" i="25"/>
  <c r="AF28" i="25"/>
  <c r="AF22" i="25"/>
  <c r="AF23" i="25"/>
  <c r="AF19" i="25"/>
  <c r="AF15" i="25"/>
  <c r="AF18" i="25"/>
  <c r="AF21" i="25"/>
  <c r="AF24" i="25"/>
  <c r="AF25" i="25"/>
  <c r="AF26" i="25"/>
  <c r="AF27" i="25"/>
  <c r="B23" i="23"/>
  <c r="B23" i="22"/>
  <c r="B23" i="21"/>
  <c r="B23" i="1"/>
  <c r="X7" i="25"/>
  <c r="W7" i="25"/>
  <c r="AC7" i="25"/>
  <c r="AA7" i="25"/>
  <c r="Y7" i="25"/>
  <c r="Z7" i="25"/>
  <c r="AB7" i="25"/>
  <c r="AJ28" i="25"/>
  <c r="AJ23" i="25"/>
  <c r="AJ15" i="25"/>
  <c r="AJ18" i="25"/>
  <c r="AJ16" i="25"/>
  <c r="AJ17" i="25"/>
  <c r="AJ19" i="25"/>
  <c r="AJ22" i="25"/>
  <c r="AJ21" i="25"/>
  <c r="AJ20" i="25"/>
  <c r="AJ24" i="25"/>
  <c r="AJ25" i="25"/>
  <c r="AJ26" i="25"/>
  <c r="AJ27" i="25"/>
  <c r="BC6" i="23"/>
  <c r="AZ6" i="23"/>
  <c r="BA6" i="21"/>
  <c r="BD6" i="21"/>
  <c r="AY7" i="23"/>
  <c r="BB7" i="23" s="1"/>
  <c r="BE6" i="21"/>
  <c r="AY7" i="21"/>
  <c r="AZ6" i="21"/>
  <c r="BG6" i="21"/>
  <c r="AZ6" i="22"/>
  <c r="AY7" i="22"/>
  <c r="BC6" i="21"/>
  <c r="BA6" i="22"/>
  <c r="BB6" i="22"/>
  <c r="BB6" i="21"/>
  <c r="BF6" i="21"/>
  <c r="BF7" i="21"/>
  <c r="BG7" i="21"/>
  <c r="BB7" i="21"/>
  <c r="AG4" i="23"/>
  <c r="AE4" i="23"/>
  <c r="AO4" i="23"/>
  <c r="AR4" i="23"/>
  <c r="AO4" i="21"/>
  <c r="AR4" i="21"/>
  <c r="AG4" i="21"/>
  <c r="AE4" i="21"/>
  <c r="AE4" i="22"/>
  <c r="AR4" i="22"/>
  <c r="AG4" i="22"/>
  <c r="AO4" i="22"/>
  <c r="BO45" i="1"/>
  <c r="BP3" i="1"/>
  <c r="BO3" i="1"/>
  <c r="BN3" i="1"/>
  <c r="BM3" i="1"/>
  <c r="BL3" i="1"/>
  <c r="BC3" i="1"/>
  <c r="BD3" i="1"/>
  <c r="BB3" i="1"/>
  <c r="BK3" i="1"/>
  <c r="BJ3" i="1"/>
  <c r="BI3" i="1"/>
  <c r="BH3" i="1"/>
  <c r="BQ3" i="1"/>
  <c r="BR3" i="1"/>
  <c r="BS3" i="1"/>
  <c r="BT3" i="1"/>
  <c r="BT4" i="1"/>
  <c r="BS4" i="1"/>
  <c r="BR4" i="1"/>
  <c r="BQ4" i="1"/>
  <c r="BP4" i="1"/>
  <c r="BO4" i="1"/>
  <c r="BN4" i="1"/>
  <c r="BM4" i="1"/>
  <c r="BL4" i="1"/>
  <c r="BK4" i="1"/>
  <c r="BJ4" i="1"/>
  <c r="BI4" i="1"/>
  <c r="BH4" i="1"/>
  <c r="BG4" i="1"/>
  <c r="BF4" i="1"/>
  <c r="BE4" i="1"/>
  <c r="BD4" i="1"/>
  <c r="BC4" i="1"/>
  <c r="BB4" i="1"/>
  <c r="BA4" i="1"/>
  <c r="BA3" i="1"/>
  <c r="AZ4" i="1"/>
  <c r="AZ3" i="1"/>
  <c r="BG3" i="1"/>
  <c r="BF3" i="1"/>
  <c r="BE3" i="1"/>
  <c r="AY5" i="1"/>
  <c r="B6" i="1"/>
  <c r="AN13" i="1" s="1"/>
  <c r="AO13" i="1" l="1"/>
  <c r="AR13" i="1"/>
  <c r="AE13" i="1"/>
  <c r="AU13" i="1" s="1"/>
  <c r="AN15" i="1"/>
  <c r="AN16" i="1"/>
  <c r="AN17" i="1"/>
  <c r="AN18" i="1"/>
  <c r="AN19" i="1"/>
  <c r="AN14" i="1"/>
  <c r="AN8" i="1"/>
  <c r="AN11" i="1"/>
  <c r="AN12" i="1"/>
  <c r="BH5" i="1"/>
  <c r="BG5" i="1"/>
  <c r="BD7" i="21"/>
  <c r="BH7" i="21"/>
  <c r="BH7" i="22"/>
  <c r="BG7" i="22"/>
  <c r="BF7" i="22"/>
  <c r="BD7" i="22"/>
  <c r="BB7" i="22"/>
  <c r="BT7" i="22"/>
  <c r="BS7" i="22"/>
  <c r="BR7" i="22"/>
  <c r="BQ7" i="22"/>
  <c r="BP7" i="22"/>
  <c r="BO7" i="22"/>
  <c r="BN7" i="22"/>
  <c r="AN20" i="1"/>
  <c r="AN21" i="1"/>
  <c r="AN22" i="1"/>
  <c r="AN23" i="1"/>
  <c r="AN24" i="1"/>
  <c r="BB5" i="1"/>
  <c r="BQ5" i="1"/>
  <c r="BP5" i="1"/>
  <c r="BT5" i="1"/>
  <c r="BS5" i="1"/>
  <c r="BR5" i="1"/>
  <c r="BA7" i="23"/>
  <c r="BK7" i="23"/>
  <c r="BJ7" i="23"/>
  <c r="BQ7" i="23"/>
  <c r="BI7" i="23"/>
  <c r="BP7" i="23"/>
  <c r="BH7" i="23"/>
  <c r="BO7" i="23"/>
  <c r="BG7" i="23"/>
  <c r="BN7" i="23"/>
  <c r="BF7" i="23"/>
  <c r="BM7" i="23"/>
  <c r="BD7" i="23"/>
  <c r="BL7" i="23"/>
  <c r="BA7" i="21"/>
  <c r="BC7" i="22"/>
  <c r="AN4" i="1"/>
  <c r="AN10" i="1"/>
  <c r="AI24" i="23"/>
  <c r="AH23" i="23"/>
  <c r="AH22" i="23"/>
  <c r="AH24" i="23"/>
  <c r="AI22" i="23"/>
  <c r="AI23" i="23"/>
  <c r="AI17" i="22"/>
  <c r="AH14" i="22"/>
  <c r="AH16" i="22"/>
  <c r="AH15" i="22"/>
  <c r="AH17" i="22"/>
  <c r="AI13" i="22"/>
  <c r="AI14" i="22"/>
  <c r="AI15" i="22"/>
  <c r="AI16" i="22"/>
  <c r="AH13" i="22"/>
  <c r="AI6" i="21"/>
  <c r="AI14" i="21"/>
  <c r="AI22" i="21"/>
  <c r="AH17" i="21"/>
  <c r="AH13" i="21"/>
  <c r="AI19" i="21"/>
  <c r="AH22" i="21"/>
  <c r="AH15" i="21"/>
  <c r="AI15" i="21"/>
  <c r="AI23" i="21"/>
  <c r="AH18" i="21"/>
  <c r="AH14" i="21"/>
  <c r="AI20" i="21"/>
  <c r="AH23" i="21"/>
  <c r="AH16" i="21"/>
  <c r="AI16" i="21"/>
  <c r="AI24" i="21"/>
  <c r="AH11" i="21"/>
  <c r="AH19" i="21"/>
  <c r="AI18" i="21"/>
  <c r="AH21" i="21"/>
  <c r="AH6" i="21"/>
  <c r="AI21" i="21"/>
  <c r="AI17" i="21"/>
  <c r="AH20" i="21"/>
  <c r="AI11" i="21"/>
  <c r="AI13" i="21"/>
  <c r="AH24" i="21"/>
  <c r="AM8" i="25"/>
  <c r="AM10" i="25"/>
  <c r="T9" i="25"/>
  <c r="U9" i="25" s="1"/>
  <c r="V9" i="25" s="1"/>
  <c r="R9" i="25"/>
  <c r="S9" i="25" s="1"/>
  <c r="P10" i="25"/>
  <c r="Q9" i="25"/>
  <c r="AC8" i="25"/>
  <c r="Z8" i="25"/>
  <c r="AB8" i="25"/>
  <c r="AA8" i="25"/>
  <c r="W8" i="25"/>
  <c r="X8" i="25"/>
  <c r="Y8" i="25"/>
  <c r="AM5" i="25"/>
  <c r="AZ7" i="23"/>
  <c r="AM9" i="25"/>
  <c r="AM6" i="25"/>
  <c r="AM11" i="25"/>
  <c r="BC7" i="21"/>
  <c r="AZ7" i="21"/>
  <c r="BE7" i="21"/>
  <c r="AY8" i="21"/>
  <c r="BE7" i="23"/>
  <c r="AY8" i="23"/>
  <c r="BC7" i="23"/>
  <c r="AG6" i="21"/>
  <c r="AG14" i="21"/>
  <c r="AG22" i="21"/>
  <c r="AG7" i="21"/>
  <c r="AH7" i="21" s="1"/>
  <c r="AI7" i="21" s="1"/>
  <c r="AG15" i="21"/>
  <c r="AG23" i="21"/>
  <c r="AG8" i="21"/>
  <c r="AH8" i="21" s="1"/>
  <c r="AI8" i="21" s="1"/>
  <c r="AG16" i="21"/>
  <c r="AG24" i="21"/>
  <c r="AG9" i="21"/>
  <c r="AH9" i="21" s="1"/>
  <c r="AI9" i="21" s="1"/>
  <c r="AG17" i="21"/>
  <c r="AG5" i="21"/>
  <c r="AH5" i="21" s="1"/>
  <c r="AI5" i="21" s="1"/>
  <c r="AG10" i="21"/>
  <c r="AH10" i="21" s="1"/>
  <c r="AI10" i="21" s="1"/>
  <c r="AG18" i="21"/>
  <c r="AG11" i="21"/>
  <c r="AG19" i="21"/>
  <c r="AG12" i="21"/>
  <c r="AH12" i="21" s="1"/>
  <c r="AI12" i="21" s="1"/>
  <c r="AG20" i="21"/>
  <c r="AG13" i="21"/>
  <c r="AG21" i="21"/>
  <c r="AG10" i="22"/>
  <c r="AH10" i="22" s="1"/>
  <c r="AI10" i="22" s="1"/>
  <c r="AG18" i="22"/>
  <c r="AH18" i="22" s="1"/>
  <c r="AI18" i="22" s="1"/>
  <c r="AG11" i="22"/>
  <c r="AH11" i="22" s="1"/>
  <c r="AI11" i="22" s="1"/>
  <c r="AG19" i="22"/>
  <c r="AH19" i="22" s="1"/>
  <c r="AI19" i="22" s="1"/>
  <c r="AG12" i="22"/>
  <c r="AH12" i="22" s="1"/>
  <c r="AI12" i="22" s="1"/>
  <c r="AG20" i="22"/>
  <c r="AH20" i="22" s="1"/>
  <c r="AI20" i="22" s="1"/>
  <c r="AG13" i="22"/>
  <c r="AG21" i="22"/>
  <c r="AH21" i="22" s="1"/>
  <c r="AI21" i="22" s="1"/>
  <c r="AG6" i="22"/>
  <c r="AH6" i="22" s="1"/>
  <c r="AI6" i="22" s="1"/>
  <c r="AG14" i="22"/>
  <c r="AG22" i="22"/>
  <c r="AH22" i="22" s="1"/>
  <c r="AI22" i="22" s="1"/>
  <c r="AG7" i="22"/>
  <c r="AH7" i="22" s="1"/>
  <c r="AI7" i="22" s="1"/>
  <c r="AG15" i="22"/>
  <c r="AG23" i="22"/>
  <c r="AH23" i="22" s="1"/>
  <c r="AI23" i="22" s="1"/>
  <c r="AG8" i="22"/>
  <c r="AH8" i="22" s="1"/>
  <c r="AI8" i="22" s="1"/>
  <c r="AG16" i="22"/>
  <c r="AG24" i="22"/>
  <c r="AH24" i="22" s="1"/>
  <c r="AI24" i="22" s="1"/>
  <c r="AG9" i="22"/>
  <c r="AH9" i="22" s="1"/>
  <c r="AI9" i="22" s="1"/>
  <c r="AG17" i="22"/>
  <c r="AG5" i="22"/>
  <c r="AH5" i="22" s="1"/>
  <c r="AI5" i="22" s="1"/>
  <c r="AG6" i="23"/>
  <c r="AH6" i="23" s="1"/>
  <c r="AI6" i="23" s="1"/>
  <c r="AG14" i="23"/>
  <c r="AH14" i="23" s="1"/>
  <c r="AI14" i="23" s="1"/>
  <c r="AG22" i="23"/>
  <c r="AG7" i="23"/>
  <c r="AH7" i="23" s="1"/>
  <c r="AI7" i="23" s="1"/>
  <c r="AG15" i="23"/>
  <c r="AH15" i="23" s="1"/>
  <c r="AI15" i="23" s="1"/>
  <c r="AG23" i="23"/>
  <c r="AG8" i="23"/>
  <c r="AH8" i="23" s="1"/>
  <c r="AI8" i="23" s="1"/>
  <c r="AG16" i="23"/>
  <c r="AH16" i="23" s="1"/>
  <c r="AI16" i="23" s="1"/>
  <c r="AG24" i="23"/>
  <c r="AG9" i="23"/>
  <c r="AH9" i="23" s="1"/>
  <c r="AI9" i="23" s="1"/>
  <c r="AG17" i="23"/>
  <c r="AH17" i="23" s="1"/>
  <c r="AI17" i="23" s="1"/>
  <c r="AG5" i="23"/>
  <c r="AH5" i="23" s="1"/>
  <c r="AI5" i="23" s="1"/>
  <c r="AG10" i="23"/>
  <c r="AH10" i="23" s="1"/>
  <c r="AI10" i="23" s="1"/>
  <c r="AG18" i="23"/>
  <c r="AH18" i="23" s="1"/>
  <c r="AI18" i="23" s="1"/>
  <c r="AG11" i="23"/>
  <c r="AH11" i="23" s="1"/>
  <c r="AI11" i="23" s="1"/>
  <c r="AG19" i="23"/>
  <c r="AH19" i="23" s="1"/>
  <c r="AI19" i="23" s="1"/>
  <c r="AG12" i="23"/>
  <c r="AH12" i="23" s="1"/>
  <c r="AI12" i="23" s="1"/>
  <c r="AG20" i="23"/>
  <c r="AH20" i="23" s="1"/>
  <c r="AI20" i="23" s="1"/>
  <c r="AG13" i="23"/>
  <c r="AH13" i="23" s="1"/>
  <c r="AI13" i="23" s="1"/>
  <c r="AG21" i="23"/>
  <c r="AH21" i="23" s="1"/>
  <c r="AI21" i="23" s="1"/>
  <c r="AZ7" i="22"/>
  <c r="AY8" i="22"/>
  <c r="BE7" i="22"/>
  <c r="BA7" i="22"/>
  <c r="AN7" i="1"/>
  <c r="AO7" i="1" s="1"/>
  <c r="AN9" i="1"/>
  <c r="AN5" i="1"/>
  <c r="AN6" i="1"/>
  <c r="BF8" i="21"/>
  <c r="BG8" i="21"/>
  <c r="BC5" i="1"/>
  <c r="BF5" i="1"/>
  <c r="AT4" i="21"/>
  <c r="AS4" i="21"/>
  <c r="AS4" i="23"/>
  <c r="AT4" i="23"/>
  <c r="BC8" i="21"/>
  <c r="BB8" i="21"/>
  <c r="AT4" i="22"/>
  <c r="AS4" i="22"/>
  <c r="BA5" i="1"/>
  <c r="BE5" i="1"/>
  <c r="BD5" i="1"/>
  <c r="BH56" i="1"/>
  <c r="BI56" i="1" s="1"/>
  <c r="BH44" i="1"/>
  <c r="BH52" i="1"/>
  <c r="BH43" i="1"/>
  <c r="BH54" i="1"/>
  <c r="BH45" i="1"/>
  <c r="BH53" i="1"/>
  <c r="BH46" i="1"/>
  <c r="BH42" i="1"/>
  <c r="BH47" i="1"/>
  <c r="BH48" i="1"/>
  <c r="BH49" i="1"/>
  <c r="BH51" i="1"/>
  <c r="BH50" i="1"/>
  <c r="AZ5" i="1"/>
  <c r="AY6" i="1"/>
  <c r="AS13" i="1" l="1"/>
  <c r="AT13" i="1"/>
  <c r="AO14" i="1"/>
  <c r="AE14" i="1"/>
  <c r="AU14" i="1" s="1"/>
  <c r="AR14" i="1"/>
  <c r="AE19" i="1"/>
  <c r="AU19" i="1" s="1"/>
  <c r="AO19" i="1"/>
  <c r="AR19" i="1"/>
  <c r="AR18" i="1"/>
  <c r="AO18" i="1"/>
  <c r="AE18" i="1"/>
  <c r="AU18" i="1" s="1"/>
  <c r="AR17" i="1"/>
  <c r="AO17" i="1"/>
  <c r="AE17" i="1"/>
  <c r="AU17" i="1" s="1"/>
  <c r="AR16" i="1"/>
  <c r="AE16" i="1"/>
  <c r="AU16" i="1" s="1"/>
  <c r="AO16" i="1"/>
  <c r="AE15" i="1"/>
  <c r="AU15" i="1" s="1"/>
  <c r="AR15" i="1"/>
  <c r="AO15" i="1"/>
  <c r="BH6" i="1"/>
  <c r="BG6" i="1"/>
  <c r="AE12" i="1"/>
  <c r="AU12" i="1" s="1"/>
  <c r="AO12" i="1"/>
  <c r="AR12" i="1"/>
  <c r="AO11" i="1"/>
  <c r="AR11" i="1"/>
  <c r="AE11" i="1"/>
  <c r="AU11" i="1" s="1"/>
  <c r="BD8" i="21"/>
  <c r="BH8" i="21"/>
  <c r="BD8" i="22"/>
  <c r="BH8" i="22"/>
  <c r="BG8" i="22"/>
  <c r="BF8" i="22"/>
  <c r="BA8" i="21"/>
  <c r="AY9" i="21"/>
  <c r="BE8" i="22"/>
  <c r="BN8" i="22"/>
  <c r="BT8" i="22"/>
  <c r="BS8" i="22"/>
  <c r="BR8" i="22"/>
  <c r="BQ8" i="22"/>
  <c r="BP8" i="22"/>
  <c r="BO8" i="22"/>
  <c r="BQ6" i="1"/>
  <c r="BP6" i="1"/>
  <c r="BT6" i="1"/>
  <c r="BS6" i="1"/>
  <c r="BR6" i="1"/>
  <c r="AR24" i="1"/>
  <c r="AO24" i="1"/>
  <c r="AE24" i="1"/>
  <c r="AO23" i="1"/>
  <c r="AE23" i="1"/>
  <c r="AU23" i="1" s="1"/>
  <c r="AR23" i="1"/>
  <c r="AE22" i="1"/>
  <c r="AO22" i="1"/>
  <c r="AR22" i="1"/>
  <c r="AO21" i="1"/>
  <c r="AE21" i="1"/>
  <c r="AU21" i="1" s="1"/>
  <c r="AR21" i="1"/>
  <c r="AE20" i="1"/>
  <c r="AR20" i="1"/>
  <c r="AO20" i="1"/>
  <c r="BA8" i="23"/>
  <c r="BQ8" i="23"/>
  <c r="BI8" i="23"/>
  <c r="BP8" i="23"/>
  <c r="BH8" i="23"/>
  <c r="BO8" i="23"/>
  <c r="BG8" i="23"/>
  <c r="BN8" i="23"/>
  <c r="BF8" i="23"/>
  <c r="BM8" i="23"/>
  <c r="BD8" i="23"/>
  <c r="BL8" i="23"/>
  <c r="BK8" i="23"/>
  <c r="BJ8" i="23"/>
  <c r="BB8" i="23"/>
  <c r="BC8" i="22"/>
  <c r="BC8" i="23"/>
  <c r="BE8" i="23"/>
  <c r="T10" i="25"/>
  <c r="U10" i="25" s="1"/>
  <c r="V10" i="25" s="1"/>
  <c r="Q10" i="25"/>
  <c r="R10" i="25"/>
  <c r="S10" i="25" s="1"/>
  <c r="P11" i="25"/>
  <c r="Z9" i="25"/>
  <c r="AC9" i="25"/>
  <c r="AB9" i="25"/>
  <c r="AA9" i="25"/>
  <c r="X9" i="25"/>
  <c r="Y9" i="25"/>
  <c r="W9" i="25"/>
  <c r="AZ8" i="21"/>
  <c r="BE8" i="21"/>
  <c r="AZ8" i="23"/>
  <c r="AY9" i="23"/>
  <c r="BB9" i="23" s="1"/>
  <c r="AZ8" i="22"/>
  <c r="BB8" i="22"/>
  <c r="AY9" i="22"/>
  <c r="BA8" i="22"/>
  <c r="BF9" i="21"/>
  <c r="BG9" i="21"/>
  <c r="AR7" i="1"/>
  <c r="AE7" i="1"/>
  <c r="BC6" i="1"/>
  <c r="BF6" i="1"/>
  <c r="AO10" i="1"/>
  <c r="AE10" i="1"/>
  <c r="AR10" i="1"/>
  <c r="BE9" i="21"/>
  <c r="BC9" i="21"/>
  <c r="BB9" i="21"/>
  <c r="BJ56" i="1"/>
  <c r="BL56" i="1" s="1"/>
  <c r="BA6" i="1"/>
  <c r="BE6" i="1"/>
  <c r="BD6" i="1"/>
  <c r="BB6" i="1"/>
  <c r="AR4" i="1"/>
  <c r="AE4" i="1"/>
  <c r="AO4" i="1"/>
  <c r="AG4" i="1"/>
  <c r="AE9" i="1"/>
  <c r="AR9" i="1"/>
  <c r="AO9" i="1"/>
  <c r="AR8" i="1"/>
  <c r="AE8" i="1"/>
  <c r="AO8" i="1"/>
  <c r="AR6" i="1"/>
  <c r="AE6" i="1"/>
  <c r="AO6" i="1"/>
  <c r="AO5" i="1"/>
  <c r="AE5" i="1"/>
  <c r="AR5" i="1"/>
  <c r="BI53" i="1"/>
  <c r="BJ53" i="1"/>
  <c r="BI50" i="1"/>
  <c r="BJ50" i="1"/>
  <c r="BI45" i="1"/>
  <c r="BJ45" i="1"/>
  <c r="BI51" i="1"/>
  <c r="BJ51" i="1"/>
  <c r="BI54" i="1"/>
  <c r="BJ54" i="1"/>
  <c r="BJ49" i="1"/>
  <c r="BI49" i="1"/>
  <c r="BI43" i="1"/>
  <c r="BJ43" i="1"/>
  <c r="BJ48" i="1"/>
  <c r="BI48" i="1"/>
  <c r="BI52" i="1"/>
  <c r="BJ52" i="1"/>
  <c r="BI47" i="1"/>
  <c r="BJ47" i="1"/>
  <c r="BI44" i="1"/>
  <c r="BJ44" i="1"/>
  <c r="BI42" i="1"/>
  <c r="BJ42" i="1"/>
  <c r="BI46" i="1"/>
  <c r="BJ46" i="1"/>
  <c r="AZ6" i="1"/>
  <c r="AY7" i="1"/>
  <c r="AS17" i="1" l="1"/>
  <c r="AT17" i="1"/>
  <c r="AS15" i="1"/>
  <c r="AT15" i="1"/>
  <c r="AS19" i="1"/>
  <c r="AT19" i="1"/>
  <c r="AT18" i="1"/>
  <c r="AS18" i="1"/>
  <c r="AS16" i="1"/>
  <c r="AT16" i="1"/>
  <c r="AS14" i="1"/>
  <c r="AT14" i="1"/>
  <c r="BH7" i="1"/>
  <c r="BG7" i="1"/>
  <c r="AT12" i="1"/>
  <c r="AS12" i="1"/>
  <c r="AS11" i="1"/>
  <c r="AT11" i="1"/>
  <c r="BD9" i="21"/>
  <c r="BH9" i="21"/>
  <c r="AY10" i="21"/>
  <c r="BH9" i="22"/>
  <c r="BG9" i="22"/>
  <c r="BF9" i="22"/>
  <c r="BD9" i="22"/>
  <c r="AZ9" i="21"/>
  <c r="BA9" i="21"/>
  <c r="BB9" i="22"/>
  <c r="BT9" i="22"/>
  <c r="BS9" i="22"/>
  <c r="BR9" i="22"/>
  <c r="BQ9" i="22"/>
  <c r="BP9" i="22"/>
  <c r="BO9" i="22"/>
  <c r="BN9" i="22"/>
  <c r="AT24" i="1"/>
  <c r="AS24" i="1"/>
  <c r="AT20" i="1"/>
  <c r="AS20" i="1"/>
  <c r="AT22" i="1"/>
  <c r="AS22" i="1"/>
  <c r="AS21" i="1"/>
  <c r="AT21" i="1"/>
  <c r="AT23" i="1"/>
  <c r="AS23" i="1"/>
  <c r="BR7" i="1"/>
  <c r="BQ7" i="1"/>
  <c r="BP7" i="1"/>
  <c r="BT7" i="1"/>
  <c r="BS7" i="1"/>
  <c r="AU20" i="1"/>
  <c r="AU22" i="1"/>
  <c r="AU24" i="1"/>
  <c r="BA9" i="23"/>
  <c r="BP9" i="23"/>
  <c r="BH9" i="23"/>
  <c r="BO9" i="23"/>
  <c r="BG9" i="23"/>
  <c r="BN9" i="23"/>
  <c r="BF9" i="23"/>
  <c r="BM9" i="23"/>
  <c r="BD9" i="23"/>
  <c r="BL9" i="23"/>
  <c r="BK9" i="23"/>
  <c r="BJ9" i="23"/>
  <c r="BQ9" i="23"/>
  <c r="BI9" i="23"/>
  <c r="BC9" i="22"/>
  <c r="AI18" i="1"/>
  <c r="AH15" i="1"/>
  <c r="AI19" i="1"/>
  <c r="AH8" i="1"/>
  <c r="AH16" i="1"/>
  <c r="AI12" i="1"/>
  <c r="AI11" i="1"/>
  <c r="AH17" i="1"/>
  <c r="AH18" i="1"/>
  <c r="AH13" i="1"/>
  <c r="AI13" i="1"/>
  <c r="AI14" i="1"/>
  <c r="AH11" i="1"/>
  <c r="AH19" i="1"/>
  <c r="AI15" i="1"/>
  <c r="AH12" i="1"/>
  <c r="AI8" i="1"/>
  <c r="AI17" i="1"/>
  <c r="AH14" i="1"/>
  <c r="AI16" i="1"/>
  <c r="AU9" i="1"/>
  <c r="AU6" i="1"/>
  <c r="AU10" i="1"/>
  <c r="AU8" i="1"/>
  <c r="AU5" i="1"/>
  <c r="AS7" i="1"/>
  <c r="AZ9" i="23"/>
  <c r="AY10" i="23"/>
  <c r="BC9" i="23"/>
  <c r="BE9" i="23"/>
  <c r="T11" i="25"/>
  <c r="U11" i="25" s="1"/>
  <c r="V11" i="25" s="1"/>
  <c r="P12" i="25"/>
  <c r="Q11" i="25"/>
  <c r="R11" i="25"/>
  <c r="S11" i="25" s="1"/>
  <c r="AB10" i="25"/>
  <c r="W10" i="25"/>
  <c r="AC10" i="25"/>
  <c r="AA10" i="25"/>
  <c r="Z10" i="25"/>
  <c r="X10" i="25"/>
  <c r="Y10" i="25"/>
  <c r="AY10" i="22"/>
  <c r="BA9" i="22"/>
  <c r="BE9" i="22"/>
  <c r="AZ9" i="22"/>
  <c r="AG10" i="1"/>
  <c r="AH10" i="1" s="1"/>
  <c r="AI10" i="1" s="1"/>
  <c r="AG18" i="1"/>
  <c r="AG11" i="1"/>
  <c r="AG19" i="1"/>
  <c r="AG12" i="1"/>
  <c r="AG20" i="1"/>
  <c r="AH20" i="1" s="1"/>
  <c r="AI20" i="1" s="1"/>
  <c r="AG13" i="1"/>
  <c r="AG21" i="1"/>
  <c r="AH21" i="1" s="1"/>
  <c r="AI21" i="1" s="1"/>
  <c r="AG6" i="1"/>
  <c r="AH6" i="1" s="1"/>
  <c r="AI6" i="1" s="1"/>
  <c r="AG14" i="1"/>
  <c r="AG22" i="1"/>
  <c r="AH22" i="1" s="1"/>
  <c r="AI22" i="1" s="1"/>
  <c r="AG7" i="1"/>
  <c r="AH7" i="1" s="1"/>
  <c r="AI7" i="1" s="1"/>
  <c r="AG15" i="1"/>
  <c r="AG23" i="1"/>
  <c r="AH23" i="1" s="1"/>
  <c r="AI23" i="1" s="1"/>
  <c r="AG8" i="1"/>
  <c r="AG16" i="1"/>
  <c r="AG24" i="1"/>
  <c r="AH24" i="1" s="1"/>
  <c r="AI24" i="1" s="1"/>
  <c r="AG9" i="1"/>
  <c r="AH9" i="1" s="1"/>
  <c r="AI9" i="1" s="1"/>
  <c r="AG17" i="1"/>
  <c r="AG5" i="1"/>
  <c r="AH5" i="1" s="1"/>
  <c r="AI5" i="1" s="1"/>
  <c r="BF10" i="21"/>
  <c r="BG10" i="21"/>
  <c r="AU7" i="1"/>
  <c r="AT7" i="1"/>
  <c r="AS10" i="1"/>
  <c r="AT10" i="1"/>
  <c r="BC7" i="1"/>
  <c r="BF7" i="1"/>
  <c r="BA10" i="21"/>
  <c r="AY11" i="21"/>
  <c r="BB10" i="21"/>
  <c r="BC10" i="21"/>
  <c r="BE10" i="21"/>
  <c r="AZ10" i="21"/>
  <c r="BK56" i="1"/>
  <c r="AT9" i="1"/>
  <c r="BB7" i="1"/>
  <c r="BA7" i="1"/>
  <c r="BE7" i="1"/>
  <c r="BD7" i="1"/>
  <c r="AT6" i="1"/>
  <c r="AS6" i="1"/>
  <c r="AS9" i="1"/>
  <c r="AT5" i="1"/>
  <c r="AS5" i="1"/>
  <c r="AT8" i="1"/>
  <c r="AS8" i="1"/>
  <c r="AT4" i="1"/>
  <c r="AS4" i="1"/>
  <c r="BL51" i="1"/>
  <c r="BK51" i="1"/>
  <c r="BK47" i="1"/>
  <c r="BL47" i="1"/>
  <c r="BL43" i="1"/>
  <c r="BK43" i="1"/>
  <c r="BK45" i="1"/>
  <c r="BL45" i="1"/>
  <c r="BK46" i="1"/>
  <c r="BL46" i="1"/>
  <c r="BK52" i="1"/>
  <c r="BL52" i="1"/>
  <c r="BL50" i="1"/>
  <c r="BK50" i="1"/>
  <c r="BL42" i="1"/>
  <c r="BK42" i="1"/>
  <c r="BL49" i="1"/>
  <c r="BK49" i="1"/>
  <c r="BK48" i="1"/>
  <c r="BL48" i="1"/>
  <c r="BK54" i="1"/>
  <c r="BL54" i="1"/>
  <c r="BK53" i="1"/>
  <c r="BL53" i="1"/>
  <c r="BK44" i="1"/>
  <c r="BL44" i="1"/>
  <c r="AZ7" i="1"/>
  <c r="AY8" i="1"/>
  <c r="BH8" i="1" l="1"/>
  <c r="BG8" i="1"/>
  <c r="BD11" i="21"/>
  <c r="BH11" i="21"/>
  <c r="BD10" i="21"/>
  <c r="BH10" i="21"/>
  <c r="BH10" i="22"/>
  <c r="BG10" i="22"/>
  <c r="BF10" i="22"/>
  <c r="BD10" i="22"/>
  <c r="AY11" i="22"/>
  <c r="AY12" i="22" s="1"/>
  <c r="BO10" i="22"/>
  <c r="BN10" i="22"/>
  <c r="BT10" i="22"/>
  <c r="BS10" i="22"/>
  <c r="BR10" i="22"/>
  <c r="BQ10" i="22"/>
  <c r="BP10" i="22"/>
  <c r="BS8" i="1"/>
  <c r="BR8" i="1"/>
  <c r="BQ8" i="1"/>
  <c r="BP8" i="1"/>
  <c r="BT8" i="1"/>
  <c r="BA10" i="23"/>
  <c r="BM10" i="23"/>
  <c r="BD10" i="23"/>
  <c r="BL10" i="23"/>
  <c r="BK10" i="23"/>
  <c r="BJ10" i="23"/>
  <c r="BI10" i="23"/>
  <c r="BQ10" i="23"/>
  <c r="BP10" i="23"/>
  <c r="BH10" i="23"/>
  <c r="BO10" i="23"/>
  <c r="BG10" i="23"/>
  <c r="BN10" i="23"/>
  <c r="BF10" i="23"/>
  <c r="BB10" i="23"/>
  <c r="BC10" i="22"/>
  <c r="AZ10" i="23"/>
  <c r="BA10" i="22"/>
  <c r="BE10" i="23"/>
  <c r="AZ10" i="22"/>
  <c r="AY11" i="23"/>
  <c r="BB11" i="23" s="1"/>
  <c r="BC10" i="23"/>
  <c r="BB10" i="22"/>
  <c r="BE10" i="22"/>
  <c r="AA11" i="25"/>
  <c r="AB11" i="25"/>
  <c r="Y11" i="25"/>
  <c r="AC11" i="25"/>
  <c r="X11" i="25"/>
  <c r="W11" i="25"/>
  <c r="Z11" i="25"/>
  <c r="R12" i="25"/>
  <c r="S12" i="25" s="1"/>
  <c r="Q12" i="25"/>
  <c r="P13" i="25"/>
  <c r="T12" i="25"/>
  <c r="U12" i="25" s="1"/>
  <c r="V12" i="25" s="1"/>
  <c r="BF11" i="21"/>
  <c r="BG11" i="21"/>
  <c r="BC8" i="1"/>
  <c r="BF8" i="1"/>
  <c r="BA11" i="21"/>
  <c r="AY12" i="21"/>
  <c r="BB11" i="21"/>
  <c r="BE11" i="21"/>
  <c r="BC11" i="21"/>
  <c r="AZ11" i="21"/>
  <c r="BB8" i="1"/>
  <c r="BE8" i="1"/>
  <c r="BD8" i="1"/>
  <c r="BA8" i="1"/>
  <c r="AZ8" i="1"/>
  <c r="AY9" i="1"/>
  <c r="BH9" i="1" l="1"/>
  <c r="BG9" i="1"/>
  <c r="BD12" i="21"/>
  <c r="BH12" i="21"/>
  <c r="AZ11" i="22"/>
  <c r="BH12" i="22"/>
  <c r="BG12" i="22"/>
  <c r="BF12" i="22"/>
  <c r="BD12" i="22"/>
  <c r="BD11" i="22"/>
  <c r="BH11" i="22"/>
  <c r="BG11" i="22"/>
  <c r="BF11" i="22"/>
  <c r="BB11" i="22"/>
  <c r="BE11" i="22"/>
  <c r="BA11" i="22"/>
  <c r="BC11" i="22"/>
  <c r="BE11" i="23"/>
  <c r="BS12" i="22"/>
  <c r="BR12" i="22"/>
  <c r="BQ12" i="22"/>
  <c r="BP12" i="22"/>
  <c r="BO12" i="22"/>
  <c r="BN12" i="22"/>
  <c r="BT12" i="22"/>
  <c r="BQ11" i="22"/>
  <c r="BP11" i="22"/>
  <c r="BO11" i="22"/>
  <c r="BN11" i="22"/>
  <c r="BT11" i="22"/>
  <c r="BS11" i="22"/>
  <c r="BR11" i="22"/>
  <c r="BT9" i="1"/>
  <c r="BS9" i="1"/>
  <c r="BR9" i="1"/>
  <c r="BQ9" i="1"/>
  <c r="BP9" i="1"/>
  <c r="BA11" i="23"/>
  <c r="BJ11" i="23"/>
  <c r="BQ11" i="23"/>
  <c r="BI11" i="23"/>
  <c r="BP11" i="23"/>
  <c r="BH11" i="23"/>
  <c r="BO11" i="23"/>
  <c r="BG11" i="23"/>
  <c r="BN11" i="23"/>
  <c r="BF11" i="23"/>
  <c r="BM11" i="23"/>
  <c r="BD11" i="23"/>
  <c r="BL11" i="23"/>
  <c r="BK11" i="23"/>
  <c r="AZ11" i="23"/>
  <c r="BC11" i="23"/>
  <c r="AY12" i="23"/>
  <c r="BB12" i="23" s="1"/>
  <c r="AB12" i="25"/>
  <c r="AC12" i="25"/>
  <c r="Z12" i="25"/>
  <c r="W12" i="25"/>
  <c r="AA12" i="25"/>
  <c r="Y12" i="25"/>
  <c r="X12" i="25"/>
  <c r="T13" i="25"/>
  <c r="U13" i="25" s="1"/>
  <c r="V13" i="25" s="1"/>
  <c r="P14" i="25"/>
  <c r="Q13" i="25"/>
  <c r="R13" i="25"/>
  <c r="S13" i="25" s="1"/>
  <c r="BF12" i="21"/>
  <c r="BG12" i="21"/>
  <c r="BC9" i="1"/>
  <c r="BF9" i="1"/>
  <c r="BE12" i="22"/>
  <c r="AY13" i="22"/>
  <c r="BC12" i="22"/>
  <c r="BA12" i="22"/>
  <c r="BB12" i="22"/>
  <c r="AZ12" i="22"/>
  <c r="BB12" i="21"/>
  <c r="BA12" i="21"/>
  <c r="AY13" i="21"/>
  <c r="BE12" i="21"/>
  <c r="BC12" i="21"/>
  <c r="AZ12" i="21"/>
  <c r="BD9" i="1"/>
  <c r="BB9" i="1"/>
  <c r="BA9" i="1"/>
  <c r="BE9" i="1"/>
  <c r="AZ9" i="1"/>
  <c r="AY10" i="1"/>
  <c r="BH10" i="1" l="1"/>
  <c r="BG10" i="1"/>
  <c r="BD13" i="21"/>
  <c r="BH13" i="21"/>
  <c r="BH13" i="22"/>
  <c r="BG13" i="22"/>
  <c r="BF13" i="22"/>
  <c r="BD13" i="22"/>
  <c r="AZ12" i="23"/>
  <c r="BT13" i="22"/>
  <c r="BS13" i="22"/>
  <c r="BR13" i="22"/>
  <c r="BQ13" i="22"/>
  <c r="BP13" i="22"/>
  <c r="BO13" i="22"/>
  <c r="BN13" i="22"/>
  <c r="BT10" i="1"/>
  <c r="BS10" i="1"/>
  <c r="BR10" i="1"/>
  <c r="BQ10" i="1"/>
  <c r="BP10" i="1"/>
  <c r="BA12" i="23"/>
  <c r="BO12" i="23"/>
  <c r="BG12" i="23"/>
  <c r="BN12" i="23"/>
  <c r="BF12" i="23"/>
  <c r="BM12" i="23"/>
  <c r="BD12" i="23"/>
  <c r="BL12" i="23"/>
  <c r="BK12" i="23"/>
  <c r="BJ12" i="23"/>
  <c r="BQ12" i="23"/>
  <c r="BI12" i="23"/>
  <c r="BP12" i="23"/>
  <c r="BH12" i="23"/>
  <c r="BC12" i="23"/>
  <c r="BE12" i="23"/>
  <c r="AY13" i="23"/>
  <c r="AY14" i="23" s="1"/>
  <c r="AB13" i="25"/>
  <c r="AA13" i="25"/>
  <c r="X13" i="25"/>
  <c r="W13" i="25"/>
  <c r="AC13" i="25"/>
  <c r="Z13" i="25"/>
  <c r="Y13" i="25"/>
  <c r="R14" i="25"/>
  <c r="S14" i="25" s="1"/>
  <c r="P15" i="25"/>
  <c r="Q14" i="25"/>
  <c r="T14" i="25"/>
  <c r="U14" i="25" s="1"/>
  <c r="V14" i="25" s="1"/>
  <c r="BF13" i="21"/>
  <c r="BG13" i="21"/>
  <c r="BC10" i="1"/>
  <c r="BF10" i="1"/>
  <c r="BC13" i="23"/>
  <c r="BB13" i="23"/>
  <c r="BB13" i="21"/>
  <c r="BA13" i="21"/>
  <c r="AY14" i="21"/>
  <c r="BE13" i="21"/>
  <c r="BC13" i="21"/>
  <c r="AZ13" i="21"/>
  <c r="BB13" i="22"/>
  <c r="BC13" i="22"/>
  <c r="AY14" i="22"/>
  <c r="BA13" i="22"/>
  <c r="AZ13" i="22"/>
  <c r="BE13" i="22"/>
  <c r="BE10" i="1"/>
  <c r="BD10" i="1"/>
  <c r="BA10" i="1"/>
  <c r="BB10" i="1"/>
  <c r="AZ10" i="1"/>
  <c r="AY11" i="1"/>
  <c r="BH11" i="1" l="1"/>
  <c r="BG11" i="1"/>
  <c r="BD14" i="21"/>
  <c r="BH14" i="21"/>
  <c r="BE13" i="23"/>
  <c r="BH14" i="22"/>
  <c r="BG14" i="22"/>
  <c r="BF14" i="22"/>
  <c r="BD14" i="22"/>
  <c r="AZ13" i="23"/>
  <c r="BO14" i="22"/>
  <c r="BN14" i="22"/>
  <c r="BT14" i="22"/>
  <c r="BS14" i="22"/>
  <c r="BR14" i="22"/>
  <c r="BQ14" i="22"/>
  <c r="BP14" i="22"/>
  <c r="BT11" i="1"/>
  <c r="BS11" i="1"/>
  <c r="BR11" i="1"/>
  <c r="BQ11" i="1"/>
  <c r="BP11" i="1"/>
  <c r="BA14" i="23"/>
  <c r="BK14" i="23"/>
  <c r="BJ14" i="23"/>
  <c r="BQ14" i="23"/>
  <c r="BI14" i="23"/>
  <c r="BP14" i="23"/>
  <c r="BH14" i="23"/>
  <c r="BO14" i="23"/>
  <c r="BG14" i="23"/>
  <c r="BN14" i="23"/>
  <c r="BF14" i="23"/>
  <c r="BM14" i="23"/>
  <c r="BD14" i="23"/>
  <c r="BL14" i="23"/>
  <c r="BA13" i="23"/>
  <c r="BM13" i="23"/>
  <c r="BD13" i="23"/>
  <c r="BL13" i="23"/>
  <c r="BK13" i="23"/>
  <c r="BJ13" i="23"/>
  <c r="BQ13" i="23"/>
  <c r="BI13" i="23"/>
  <c r="BP13" i="23"/>
  <c r="BH13" i="23"/>
  <c r="BO13" i="23"/>
  <c r="BG13" i="23"/>
  <c r="BN13" i="23"/>
  <c r="BF13" i="23"/>
  <c r="AC14" i="25"/>
  <c r="AA14" i="25"/>
  <c r="AB14" i="25"/>
  <c r="X14" i="25"/>
  <c r="W14" i="25"/>
  <c r="Z14" i="25"/>
  <c r="Y14" i="25"/>
  <c r="T15" i="25"/>
  <c r="U15" i="25" s="1"/>
  <c r="V15" i="25" s="1"/>
  <c r="R15" i="25"/>
  <c r="S15" i="25" s="1"/>
  <c r="P16" i="25"/>
  <c r="Q15" i="25"/>
  <c r="BF14" i="21"/>
  <c r="BG14" i="21"/>
  <c r="BC11" i="1"/>
  <c r="BF11" i="1"/>
  <c r="BC14" i="21"/>
  <c r="BB14" i="21"/>
  <c r="BA14" i="21"/>
  <c r="AZ14" i="21"/>
  <c r="AY15" i="21"/>
  <c r="BE14" i="21"/>
  <c r="BB14" i="22"/>
  <c r="BA14" i="22"/>
  <c r="AY15" i="22"/>
  <c r="BC14" i="22"/>
  <c r="AZ14" i="22"/>
  <c r="BE14" i="22"/>
  <c r="BC14" i="23"/>
  <c r="AY15" i="23"/>
  <c r="BE14" i="23"/>
  <c r="BB14" i="23"/>
  <c r="AZ14" i="23"/>
  <c r="BD11" i="1"/>
  <c r="BA11" i="1"/>
  <c r="BE11" i="1"/>
  <c r="BB11" i="1"/>
  <c r="AZ11" i="1"/>
  <c r="AY12" i="1"/>
  <c r="BH12" i="1" l="1"/>
  <c r="BG12" i="1"/>
  <c r="BD15" i="21"/>
  <c r="BH15" i="21"/>
  <c r="BD15" i="22"/>
  <c r="BH15" i="22"/>
  <c r="BG15" i="22"/>
  <c r="BF15" i="22"/>
  <c r="BQ15" i="22"/>
  <c r="BP15" i="22"/>
  <c r="BO15" i="22"/>
  <c r="BN15" i="22"/>
  <c r="BT15" i="22"/>
  <c r="BS15" i="22"/>
  <c r="BR15" i="22"/>
  <c r="BT12" i="1"/>
  <c r="BS12" i="1"/>
  <c r="BR12" i="1"/>
  <c r="BQ12" i="1"/>
  <c r="BP12" i="1"/>
  <c r="BA15" i="23"/>
  <c r="BQ15" i="23"/>
  <c r="BI15" i="23"/>
  <c r="BP15" i="23"/>
  <c r="BH15" i="23"/>
  <c r="BO15" i="23"/>
  <c r="BG15" i="23"/>
  <c r="BN15" i="23"/>
  <c r="BF15" i="23"/>
  <c r="BM15" i="23"/>
  <c r="BD15" i="23"/>
  <c r="BL15" i="23"/>
  <c r="BK15" i="23"/>
  <c r="BJ15" i="23"/>
  <c r="R16" i="25"/>
  <c r="S16" i="25" s="1"/>
  <c r="P17" i="25"/>
  <c r="Q16" i="25"/>
  <c r="T16" i="25"/>
  <c r="U16" i="25" s="1"/>
  <c r="V16" i="25" s="1"/>
  <c r="AC15" i="25"/>
  <c r="AA15" i="25"/>
  <c r="Z15" i="25"/>
  <c r="X15" i="25"/>
  <c r="W15" i="25"/>
  <c r="Y15" i="25"/>
  <c r="AB15" i="25"/>
  <c r="BF15" i="21"/>
  <c r="BG15" i="21"/>
  <c r="BC12" i="1"/>
  <c r="BF12" i="1"/>
  <c r="BE15" i="23"/>
  <c r="BC15" i="23"/>
  <c r="BB15" i="23"/>
  <c r="AZ15" i="23"/>
  <c r="AY16" i="23"/>
  <c r="AY16" i="21"/>
  <c r="AZ15" i="21"/>
  <c r="BC15" i="21"/>
  <c r="BB15" i="21"/>
  <c r="BA15" i="21"/>
  <c r="BE15" i="21"/>
  <c r="BA15" i="22"/>
  <c r="AY16" i="22"/>
  <c r="AZ15" i="22"/>
  <c r="BE15" i="22"/>
  <c r="BB15" i="22"/>
  <c r="BC15" i="22"/>
  <c r="BE12" i="1"/>
  <c r="BD12" i="1"/>
  <c r="BB12" i="1"/>
  <c r="BA12" i="1"/>
  <c r="AZ12" i="1"/>
  <c r="AY13" i="1"/>
  <c r="BH13" i="1" l="1"/>
  <c r="BG13" i="1"/>
  <c r="BD16" i="21"/>
  <c r="BH16" i="21"/>
  <c r="BF16" i="22"/>
  <c r="BD16" i="22"/>
  <c r="BH16" i="22"/>
  <c r="BG16" i="22"/>
  <c r="BS16" i="22"/>
  <c r="BR16" i="22"/>
  <c r="BQ16" i="22"/>
  <c r="BP16" i="22"/>
  <c r="BO16" i="22"/>
  <c r="BN16" i="22"/>
  <c r="BT16" i="22"/>
  <c r="BP13" i="1"/>
  <c r="BT13" i="1"/>
  <c r="BS13" i="1"/>
  <c r="BR13" i="1"/>
  <c r="BQ13" i="1"/>
  <c r="BA16" i="23"/>
  <c r="BN16" i="23"/>
  <c r="BF16" i="23"/>
  <c r="BM16" i="23"/>
  <c r="BD16" i="23"/>
  <c r="BL16" i="23"/>
  <c r="BK16" i="23"/>
  <c r="BJ16" i="23"/>
  <c r="BQ16" i="23"/>
  <c r="BI16" i="23"/>
  <c r="BP16" i="23"/>
  <c r="BH16" i="23"/>
  <c r="BO16" i="23"/>
  <c r="BG16" i="23"/>
  <c r="T17" i="25"/>
  <c r="U17" i="25" s="1"/>
  <c r="V17" i="25" s="1"/>
  <c r="R17" i="25"/>
  <c r="S17" i="25" s="1"/>
  <c r="P18" i="25"/>
  <c r="Q17" i="25"/>
  <c r="Z16" i="25"/>
  <c r="AB16" i="25"/>
  <c r="AA16" i="25"/>
  <c r="W16" i="25"/>
  <c r="AC16" i="25"/>
  <c r="X16" i="25"/>
  <c r="Y16" i="25"/>
  <c r="BF16" i="21"/>
  <c r="BG16" i="21"/>
  <c r="BC13" i="1"/>
  <c r="BF13" i="1"/>
  <c r="AZ16" i="21"/>
  <c r="BB16" i="21"/>
  <c r="BA16" i="21"/>
  <c r="BC16" i="21"/>
  <c r="BE16" i="21"/>
  <c r="AY17" i="21"/>
  <c r="BB16" i="22"/>
  <c r="BC16" i="22"/>
  <c r="AZ16" i="22"/>
  <c r="BA16" i="22"/>
  <c r="BE16" i="22"/>
  <c r="AY17" i="22"/>
  <c r="AY17" i="23"/>
  <c r="BE16" i="23"/>
  <c r="BC16" i="23"/>
  <c r="BB16" i="23"/>
  <c r="AZ16" i="23"/>
  <c r="BE13" i="1"/>
  <c r="BD13" i="1"/>
  <c r="BB13" i="1"/>
  <c r="BA13" i="1"/>
  <c r="AZ13" i="1"/>
  <c r="AY14" i="1"/>
  <c r="BH14" i="1" l="1"/>
  <c r="BG14" i="1"/>
  <c r="BD17" i="21"/>
  <c r="BH17" i="21"/>
  <c r="BG17" i="22"/>
  <c r="BF17" i="22"/>
  <c r="BD17" i="22"/>
  <c r="BH17" i="22"/>
  <c r="BT17" i="22"/>
  <c r="BS17" i="22"/>
  <c r="BR17" i="22"/>
  <c r="BQ17" i="22"/>
  <c r="BP17" i="22"/>
  <c r="BO17" i="22"/>
  <c r="BN17" i="22"/>
  <c r="BQ14" i="1"/>
  <c r="BP14" i="1"/>
  <c r="BT14" i="1"/>
  <c r="BS14" i="1"/>
  <c r="BR14" i="1"/>
  <c r="BA17" i="23"/>
  <c r="BK17" i="23"/>
  <c r="BJ17" i="23"/>
  <c r="BQ17" i="23"/>
  <c r="BI17" i="23"/>
  <c r="BP17" i="23"/>
  <c r="BH17" i="23"/>
  <c r="BO17" i="23"/>
  <c r="BG17" i="23"/>
  <c r="BN17" i="23"/>
  <c r="BF17" i="23"/>
  <c r="BM17" i="23"/>
  <c r="BD17" i="23"/>
  <c r="BL17" i="23"/>
  <c r="R18" i="25"/>
  <c r="S18" i="25" s="1"/>
  <c r="P19" i="25"/>
  <c r="Q18" i="25"/>
  <c r="T18" i="25"/>
  <c r="U18" i="25" s="1"/>
  <c r="V18" i="25" s="1"/>
  <c r="Z17" i="25"/>
  <c r="AC17" i="25"/>
  <c r="AB17" i="25"/>
  <c r="AA17" i="25"/>
  <c r="W17" i="25"/>
  <c r="Y17" i="25"/>
  <c r="X17" i="25"/>
  <c r="BF17" i="21"/>
  <c r="BG17" i="21"/>
  <c r="BC14" i="1"/>
  <c r="BF14" i="1"/>
  <c r="BE17" i="21"/>
  <c r="BB17" i="21"/>
  <c r="BC17" i="21"/>
  <c r="AZ17" i="21"/>
  <c r="AY18" i="21"/>
  <c r="BA17" i="21"/>
  <c r="BE17" i="23"/>
  <c r="BC17" i="23"/>
  <c r="BB17" i="23"/>
  <c r="AY18" i="23"/>
  <c r="AZ17" i="23"/>
  <c r="BB17" i="22"/>
  <c r="AY18" i="22"/>
  <c r="AZ17" i="22"/>
  <c r="BE17" i="22"/>
  <c r="BC17" i="22"/>
  <c r="BA17" i="22"/>
  <c r="BA14" i="1"/>
  <c r="BE14" i="1"/>
  <c r="BD14" i="1"/>
  <c r="BB14" i="1"/>
  <c r="AZ14" i="1"/>
  <c r="AY15" i="1"/>
  <c r="BG15" i="1" l="1"/>
  <c r="BH15" i="1"/>
  <c r="BD18" i="21"/>
  <c r="BH18" i="21"/>
  <c r="BD18" i="22"/>
  <c r="BH18" i="22"/>
  <c r="BG18" i="22"/>
  <c r="BF18" i="22"/>
  <c r="BR18" i="22"/>
  <c r="BQ18" i="22"/>
  <c r="BP18" i="22"/>
  <c r="BO18" i="22"/>
  <c r="BN18" i="22"/>
  <c r="BT18" i="22"/>
  <c r="BS18" i="22"/>
  <c r="BR15" i="1"/>
  <c r="BQ15" i="1"/>
  <c r="BP15" i="1"/>
  <c r="BT15" i="1"/>
  <c r="BS15" i="1"/>
  <c r="BA18" i="23"/>
  <c r="BQ18" i="23"/>
  <c r="BI18" i="23"/>
  <c r="BP18" i="23"/>
  <c r="BH18" i="23"/>
  <c r="BO18" i="23"/>
  <c r="BG18" i="23"/>
  <c r="BN18" i="23"/>
  <c r="BF18" i="23"/>
  <c r="BM18" i="23"/>
  <c r="BD18" i="23"/>
  <c r="BL18" i="23"/>
  <c r="BK18" i="23"/>
  <c r="BJ18" i="23"/>
  <c r="T19" i="25"/>
  <c r="U19" i="25" s="1"/>
  <c r="V19" i="25" s="1"/>
  <c r="R19" i="25"/>
  <c r="S19" i="25" s="1"/>
  <c r="P20" i="25"/>
  <c r="Q19" i="25"/>
  <c r="AB18" i="25"/>
  <c r="AA18" i="25"/>
  <c r="Y18" i="25"/>
  <c r="AC18" i="25"/>
  <c r="X18" i="25"/>
  <c r="W18" i="25"/>
  <c r="Z18" i="25"/>
  <c r="BF18" i="21"/>
  <c r="BG18" i="21"/>
  <c r="BC15" i="1"/>
  <c r="BF15" i="1"/>
  <c r="BC18" i="22"/>
  <c r="BB18" i="22"/>
  <c r="AY19" i="22"/>
  <c r="BA18" i="22"/>
  <c r="AZ18" i="22"/>
  <c r="BE18" i="22"/>
  <c r="BC18" i="21"/>
  <c r="BA18" i="21"/>
  <c r="AZ18" i="21"/>
  <c r="AY19" i="21"/>
  <c r="BE18" i="21"/>
  <c r="BB18" i="21"/>
  <c r="BB18" i="23"/>
  <c r="AY19" i="23"/>
  <c r="BE18" i="23"/>
  <c r="AZ18" i="23"/>
  <c r="BC18" i="23"/>
  <c r="BB15" i="1"/>
  <c r="BA15" i="1"/>
  <c r="BE15" i="1"/>
  <c r="BD15" i="1"/>
  <c r="AZ15" i="1"/>
  <c r="AY16" i="1"/>
  <c r="BG16" i="1" l="1"/>
  <c r="BH16" i="1"/>
  <c r="BD19" i="21"/>
  <c r="BH19" i="21"/>
  <c r="BH19" i="22"/>
  <c r="BG19" i="22"/>
  <c r="BF19" i="22"/>
  <c r="BD19" i="22"/>
  <c r="BP19" i="22"/>
  <c r="BO19" i="22"/>
  <c r="BN19" i="22"/>
  <c r="BT19" i="22"/>
  <c r="BS19" i="22"/>
  <c r="BR19" i="22"/>
  <c r="BQ19" i="22"/>
  <c r="BS16" i="1"/>
  <c r="BR16" i="1"/>
  <c r="BQ16" i="1"/>
  <c r="BP16" i="1"/>
  <c r="BT16" i="1"/>
  <c r="BA19" i="23"/>
  <c r="BN19" i="23"/>
  <c r="BF19" i="23"/>
  <c r="BM19" i="23"/>
  <c r="BD19" i="23"/>
  <c r="BL19" i="23"/>
  <c r="BK19" i="23"/>
  <c r="BJ19" i="23"/>
  <c r="BQ19" i="23"/>
  <c r="BI19" i="23"/>
  <c r="BP19" i="23"/>
  <c r="BH19" i="23"/>
  <c r="BO19" i="23"/>
  <c r="BG19" i="23"/>
  <c r="R20" i="25"/>
  <c r="S20" i="25" s="1"/>
  <c r="P21" i="25"/>
  <c r="Q20" i="25"/>
  <c r="T20" i="25"/>
  <c r="U20" i="25" s="1"/>
  <c r="V20" i="25" s="1"/>
  <c r="AA19" i="25"/>
  <c r="AB19" i="25"/>
  <c r="Z19" i="25"/>
  <c r="Y19" i="25"/>
  <c r="AC19" i="25"/>
  <c r="W19" i="25"/>
  <c r="X19" i="25"/>
  <c r="BF19" i="21"/>
  <c r="BG19" i="21"/>
  <c r="BC16" i="1"/>
  <c r="BF16" i="1"/>
  <c r="BC19" i="23"/>
  <c r="BB19" i="23"/>
  <c r="AY20" i="23"/>
  <c r="BE19" i="23"/>
  <c r="AZ19" i="23"/>
  <c r="BE19" i="22"/>
  <c r="BB19" i="22"/>
  <c r="AY20" i="22"/>
  <c r="BA19" i="22"/>
  <c r="AZ19" i="22"/>
  <c r="BC19" i="22"/>
  <c r="BB19" i="21"/>
  <c r="BC19" i="21"/>
  <c r="AZ19" i="21"/>
  <c r="AY20" i="21"/>
  <c r="BA19" i="21"/>
  <c r="BE19" i="21"/>
  <c r="BA16" i="1"/>
  <c r="BB16" i="1"/>
  <c r="BE16" i="1"/>
  <c r="BD16" i="1"/>
  <c r="AZ16" i="1"/>
  <c r="AY17" i="1"/>
  <c r="BH17" i="1" l="1"/>
  <c r="BG17" i="1"/>
  <c r="BD20" i="21"/>
  <c r="BH20" i="21"/>
  <c r="BH20" i="22"/>
  <c r="BG20" i="22"/>
  <c r="BF20" i="22"/>
  <c r="BD20" i="22"/>
  <c r="BN20" i="22"/>
  <c r="BT20" i="22"/>
  <c r="BS20" i="22"/>
  <c r="BR20" i="22"/>
  <c r="BQ20" i="22"/>
  <c r="BP20" i="22"/>
  <c r="BO20" i="22"/>
  <c r="BT17" i="1"/>
  <c r="BS17" i="1"/>
  <c r="BR17" i="1"/>
  <c r="BQ17" i="1"/>
  <c r="BP17" i="1"/>
  <c r="BA20" i="23"/>
  <c r="BK20" i="23"/>
  <c r="BJ20" i="23"/>
  <c r="BQ20" i="23"/>
  <c r="BI20" i="23"/>
  <c r="BP20" i="23"/>
  <c r="BH20" i="23"/>
  <c r="BO20" i="23"/>
  <c r="BG20" i="23"/>
  <c r="BN20" i="23"/>
  <c r="BF20" i="23"/>
  <c r="BM20" i="23"/>
  <c r="BD20" i="23"/>
  <c r="BL20" i="23"/>
  <c r="T21" i="25"/>
  <c r="U21" i="25" s="1"/>
  <c r="V21" i="25" s="1"/>
  <c r="R21" i="25"/>
  <c r="S21" i="25" s="1"/>
  <c r="P22" i="25"/>
  <c r="Q21" i="25"/>
  <c r="AB20" i="25"/>
  <c r="AC20" i="25"/>
  <c r="AA20" i="25"/>
  <c r="Z20" i="25"/>
  <c r="X20" i="25"/>
  <c r="W20" i="25"/>
  <c r="Y20" i="25"/>
  <c r="BF20" i="21"/>
  <c r="BG20" i="21"/>
  <c r="BC17" i="1"/>
  <c r="BF17" i="1"/>
  <c r="BB20" i="22"/>
  <c r="BE20" i="22"/>
  <c r="AZ20" i="22"/>
  <c r="BA20" i="22"/>
  <c r="AY21" i="22"/>
  <c r="BC20" i="22"/>
  <c r="AZ20" i="21"/>
  <c r="BC20" i="21"/>
  <c r="BA20" i="21"/>
  <c r="BB20" i="21"/>
  <c r="BE20" i="21"/>
  <c r="AY21" i="21"/>
  <c r="BC20" i="23"/>
  <c r="BB20" i="23"/>
  <c r="BE20" i="23"/>
  <c r="AY21" i="23"/>
  <c r="AZ20" i="23"/>
  <c r="BD17" i="1"/>
  <c r="BB17" i="1"/>
  <c r="BA17" i="1"/>
  <c r="BE17" i="1"/>
  <c r="AZ17" i="1"/>
  <c r="AY18" i="1"/>
  <c r="BG18" i="1" l="1"/>
  <c r="BH18" i="1"/>
  <c r="BD21" i="21"/>
  <c r="BH21" i="21"/>
  <c r="BG21" i="22"/>
  <c r="BF21" i="22"/>
  <c r="BD21" i="22"/>
  <c r="BH21" i="22"/>
  <c r="BT21" i="22"/>
  <c r="BS21" i="22"/>
  <c r="BR21" i="22"/>
  <c r="BQ21" i="22"/>
  <c r="BP21" i="22"/>
  <c r="BO21" i="22"/>
  <c r="BN21" i="22"/>
  <c r="BT18" i="1"/>
  <c r="BS18" i="1"/>
  <c r="BR18" i="1"/>
  <c r="BQ18" i="1"/>
  <c r="BP18" i="1"/>
  <c r="BA21" i="23"/>
  <c r="BQ21" i="23"/>
  <c r="BI21" i="23"/>
  <c r="BP21" i="23"/>
  <c r="BH21" i="23"/>
  <c r="BO21" i="23"/>
  <c r="BG21" i="23"/>
  <c r="BN21" i="23"/>
  <c r="BF21" i="23"/>
  <c r="BM21" i="23"/>
  <c r="BD21" i="23"/>
  <c r="BL21" i="23"/>
  <c r="BK21" i="23"/>
  <c r="BJ21" i="23"/>
  <c r="R22" i="25"/>
  <c r="S22" i="25" s="1"/>
  <c r="P23" i="25"/>
  <c r="Q22" i="25"/>
  <c r="T22" i="25"/>
  <c r="U22" i="25" s="1"/>
  <c r="V22" i="25" s="1"/>
  <c r="AB21" i="25"/>
  <c r="Z21" i="25"/>
  <c r="AA21" i="25"/>
  <c r="X21" i="25"/>
  <c r="W21" i="25"/>
  <c r="Y21" i="25"/>
  <c r="AC21" i="25"/>
  <c r="BF21" i="21"/>
  <c r="BG21" i="21"/>
  <c r="BC18" i="1"/>
  <c r="BF18" i="1"/>
  <c r="BB21" i="23"/>
  <c r="AY22" i="23"/>
  <c r="BC21" i="23"/>
  <c r="BE21" i="23"/>
  <c r="AZ21" i="23"/>
  <c r="BA21" i="22"/>
  <c r="BE21" i="22"/>
  <c r="BC21" i="22"/>
  <c r="AY22" i="22"/>
  <c r="AZ21" i="22"/>
  <c r="BB21" i="22"/>
  <c r="BC21" i="21"/>
  <c r="BB21" i="21"/>
  <c r="AZ21" i="21"/>
  <c r="AY22" i="21"/>
  <c r="BA21" i="21"/>
  <c r="BE21" i="21"/>
  <c r="BE18" i="1"/>
  <c r="BD18" i="1"/>
  <c r="BB18" i="1"/>
  <c r="BA18" i="1"/>
  <c r="AZ18" i="1"/>
  <c r="AY19" i="1"/>
  <c r="BH19" i="1" l="1"/>
  <c r="BG19" i="1"/>
  <c r="BD22" i="21"/>
  <c r="BH22" i="21"/>
  <c r="BD22" i="22"/>
  <c r="BH22" i="22"/>
  <c r="BG22" i="22"/>
  <c r="BF22" i="22"/>
  <c r="BR22" i="22"/>
  <c r="BQ22" i="22"/>
  <c r="BP22" i="22"/>
  <c r="BO22" i="22"/>
  <c r="BN22" i="22"/>
  <c r="BT22" i="22"/>
  <c r="BS22" i="22"/>
  <c r="BT19" i="1"/>
  <c r="BS19" i="1"/>
  <c r="BR19" i="1"/>
  <c r="BQ19" i="1"/>
  <c r="BP19" i="1"/>
  <c r="BA22" i="23"/>
  <c r="BK22" i="23"/>
  <c r="BJ22" i="23"/>
  <c r="BQ22" i="23"/>
  <c r="BI22" i="23"/>
  <c r="BP22" i="23"/>
  <c r="BH22" i="23"/>
  <c r="BO22" i="23"/>
  <c r="BG22" i="23"/>
  <c r="BN22" i="23"/>
  <c r="BF22" i="23"/>
  <c r="BM22" i="23"/>
  <c r="BD22" i="23"/>
  <c r="BL22" i="23"/>
  <c r="T23" i="25"/>
  <c r="U23" i="25" s="1"/>
  <c r="V23" i="25" s="1"/>
  <c r="R23" i="25"/>
  <c r="S23" i="25" s="1"/>
  <c r="P24" i="25"/>
  <c r="Q23" i="25"/>
  <c r="AC22" i="25"/>
  <c r="AA22" i="25"/>
  <c r="AB22" i="25"/>
  <c r="Z22" i="25"/>
  <c r="X22" i="25"/>
  <c r="W22" i="25"/>
  <c r="Y22" i="25"/>
  <c r="BF22" i="21"/>
  <c r="BG22" i="21"/>
  <c r="BC19" i="1"/>
  <c r="BF19" i="1"/>
  <c r="BC22" i="21"/>
  <c r="AY23" i="21"/>
  <c r="AZ22" i="21"/>
  <c r="BB22" i="21"/>
  <c r="BA22" i="21"/>
  <c r="BE22" i="21"/>
  <c r="BB22" i="23"/>
  <c r="AY23" i="23"/>
  <c r="BE22" i="23"/>
  <c r="AZ22" i="23"/>
  <c r="BC22" i="23"/>
  <c r="BE22" i="22"/>
  <c r="BA22" i="22"/>
  <c r="BC22" i="22"/>
  <c r="AZ22" i="22"/>
  <c r="BB22" i="22"/>
  <c r="AY23" i="22"/>
  <c r="BE19" i="1"/>
  <c r="BD19" i="1"/>
  <c r="BB19" i="1"/>
  <c r="BA19" i="1"/>
  <c r="AZ19" i="1"/>
  <c r="AY20" i="1"/>
  <c r="BH20" i="1" l="1"/>
  <c r="BG20" i="1"/>
  <c r="BD23" i="21"/>
  <c r="BH23" i="21"/>
  <c r="BH23" i="22"/>
  <c r="BG23" i="22"/>
  <c r="BF23" i="22"/>
  <c r="BD23" i="22"/>
  <c r="BP23" i="22"/>
  <c r="BO23" i="22"/>
  <c r="BN23" i="22"/>
  <c r="BT23" i="22"/>
  <c r="BS23" i="22"/>
  <c r="BR23" i="22"/>
  <c r="BQ23" i="22"/>
  <c r="BT20" i="1"/>
  <c r="BS20" i="1"/>
  <c r="BR20" i="1"/>
  <c r="BQ20" i="1"/>
  <c r="BP20" i="1"/>
  <c r="BA23" i="23"/>
  <c r="BM23" i="23"/>
  <c r="BD23" i="23"/>
  <c r="BL23" i="23"/>
  <c r="BK23" i="23"/>
  <c r="BJ23" i="23"/>
  <c r="BQ23" i="23"/>
  <c r="BI23" i="23"/>
  <c r="BP23" i="23"/>
  <c r="BH23" i="23"/>
  <c r="BO23" i="23"/>
  <c r="BG23" i="23"/>
  <c r="BN23" i="23"/>
  <c r="BF23" i="23"/>
  <c r="R24" i="25"/>
  <c r="S24" i="25" s="1"/>
  <c r="P25" i="25"/>
  <c r="Q24" i="25"/>
  <c r="T24" i="25"/>
  <c r="U24" i="25" s="1"/>
  <c r="V24" i="25" s="1"/>
  <c r="AC23" i="25"/>
  <c r="AA23" i="25"/>
  <c r="X23" i="25"/>
  <c r="W23" i="25"/>
  <c r="AB23" i="25"/>
  <c r="Z23" i="25"/>
  <c r="Y23" i="25"/>
  <c r="BF23" i="21"/>
  <c r="BG23" i="21"/>
  <c r="BC20" i="1"/>
  <c r="BF20" i="1"/>
  <c r="BB23" i="23"/>
  <c r="BC23" i="23"/>
  <c r="AY24" i="23"/>
  <c r="BE23" i="23"/>
  <c r="AZ23" i="23"/>
  <c r="AY24" i="21"/>
  <c r="BB23" i="21"/>
  <c r="BA23" i="21"/>
  <c r="AZ23" i="21"/>
  <c r="BE23" i="21"/>
  <c r="BC23" i="21"/>
  <c r="BA23" i="22"/>
  <c r="BC23" i="22"/>
  <c r="AY24" i="22"/>
  <c r="BE23" i="22"/>
  <c r="AZ23" i="22"/>
  <c r="BB23" i="22"/>
  <c r="BB20" i="1"/>
  <c r="BE20" i="1"/>
  <c r="BD20" i="1"/>
  <c r="BA20" i="1"/>
  <c r="AZ20" i="1"/>
  <c r="AY21" i="1"/>
  <c r="BH21" i="1" l="1"/>
  <c r="BG21" i="1"/>
  <c r="BD24" i="21"/>
  <c r="BH24" i="21"/>
  <c r="BH24" i="22"/>
  <c r="BG24" i="22"/>
  <c r="BF24" i="22"/>
  <c r="BD24" i="22"/>
  <c r="BN24" i="22"/>
  <c r="BT24" i="22"/>
  <c r="BS24" i="22"/>
  <c r="BR24" i="22"/>
  <c r="BQ24" i="22"/>
  <c r="BP24" i="22"/>
  <c r="BO24" i="22"/>
  <c r="BP21" i="1"/>
  <c r="BT21" i="1"/>
  <c r="BS21" i="1"/>
  <c r="BR21" i="1"/>
  <c r="BQ21" i="1"/>
  <c r="BA24" i="23"/>
  <c r="BO24" i="23"/>
  <c r="BG24" i="23"/>
  <c r="BN24" i="23"/>
  <c r="BF24" i="23"/>
  <c r="BM24" i="23"/>
  <c r="BD24" i="23"/>
  <c r="BL24" i="23"/>
  <c r="BK24" i="23"/>
  <c r="BJ24" i="23"/>
  <c r="BQ24" i="23"/>
  <c r="BI24" i="23"/>
  <c r="BP24" i="23"/>
  <c r="BH24" i="23"/>
  <c r="T25" i="25"/>
  <c r="U25" i="25" s="1"/>
  <c r="V25" i="25" s="1"/>
  <c r="R25" i="25"/>
  <c r="S25" i="25" s="1"/>
  <c r="P26" i="25"/>
  <c r="Q25" i="25"/>
  <c r="AC24" i="25"/>
  <c r="AB24" i="25"/>
  <c r="AA24" i="25"/>
  <c r="Z24" i="25"/>
  <c r="Y24" i="25"/>
  <c r="W24" i="25"/>
  <c r="X24" i="25"/>
  <c r="BF24" i="21"/>
  <c r="BG24" i="21"/>
  <c r="BC21" i="1"/>
  <c r="BF21" i="1"/>
  <c r="AY25" i="22"/>
  <c r="BC24" i="22"/>
  <c r="BA24" i="22"/>
  <c r="BE24" i="22"/>
  <c r="AZ24" i="22"/>
  <c r="BB24" i="22"/>
  <c r="BB24" i="21"/>
  <c r="BA24" i="21"/>
  <c r="AY25" i="21"/>
  <c r="AZ24" i="21"/>
  <c r="BE24" i="21"/>
  <c r="BC24" i="21"/>
  <c r="BB24" i="23"/>
  <c r="BC24" i="23"/>
  <c r="AY25" i="23"/>
  <c r="BE24" i="23"/>
  <c r="AZ24" i="23"/>
  <c r="BE21" i="1"/>
  <c r="BD21" i="1"/>
  <c r="BB21" i="1"/>
  <c r="BA21" i="1"/>
  <c r="AZ21" i="1"/>
  <c r="AY22" i="1"/>
  <c r="BH22" i="1" l="1"/>
  <c r="BG22" i="1"/>
  <c r="BD25" i="21"/>
  <c r="BH25" i="21"/>
  <c r="BH25" i="22"/>
  <c r="BG25" i="22"/>
  <c r="BF25" i="22"/>
  <c r="BD25" i="22"/>
  <c r="BN25" i="22"/>
  <c r="BT25" i="22"/>
  <c r="BS25" i="22"/>
  <c r="BR25" i="22"/>
  <c r="BQ25" i="22"/>
  <c r="BP25" i="22"/>
  <c r="BO25" i="22"/>
  <c r="BQ22" i="1"/>
  <c r="BP22" i="1"/>
  <c r="BT22" i="1"/>
  <c r="BS22" i="1"/>
  <c r="BR22" i="1"/>
  <c r="BA25" i="23"/>
  <c r="BO25" i="23"/>
  <c r="BG25" i="23"/>
  <c r="BN25" i="23"/>
  <c r="BF25" i="23"/>
  <c r="BM25" i="23"/>
  <c r="BD25" i="23"/>
  <c r="BL25" i="23"/>
  <c r="BK25" i="23"/>
  <c r="BJ25" i="23"/>
  <c r="BQ25" i="23"/>
  <c r="BI25" i="23"/>
  <c r="BP25" i="23"/>
  <c r="BH25" i="23"/>
  <c r="T26" i="25"/>
  <c r="U26" i="25" s="1"/>
  <c r="V26" i="25" s="1"/>
  <c r="R26" i="25"/>
  <c r="S26" i="25" s="1"/>
  <c r="P27" i="25"/>
  <c r="Q26" i="25"/>
  <c r="Z25" i="25"/>
  <c r="AC25" i="25"/>
  <c r="AB25" i="25"/>
  <c r="X25" i="25"/>
  <c r="Y25" i="25"/>
  <c r="AA25" i="25"/>
  <c r="W25" i="25"/>
  <c r="BF25" i="21"/>
  <c r="BG25" i="21"/>
  <c r="BC22" i="1"/>
  <c r="BF22" i="1"/>
  <c r="BE25" i="23"/>
  <c r="BC25" i="23"/>
  <c r="BB25" i="23"/>
  <c r="AY26" i="23"/>
  <c r="AZ25" i="23"/>
  <c r="BC25" i="21"/>
  <c r="BB25" i="21"/>
  <c r="BA25" i="21"/>
  <c r="AZ25" i="21"/>
  <c r="AY26" i="21"/>
  <c r="BE25" i="21"/>
  <c r="AY26" i="22"/>
  <c r="BB25" i="22"/>
  <c r="BE25" i="22"/>
  <c r="BA25" i="22"/>
  <c r="AZ25" i="22"/>
  <c r="BC25" i="22"/>
  <c r="BA22" i="1"/>
  <c r="BE22" i="1"/>
  <c r="BD22" i="1"/>
  <c r="BB22" i="1"/>
  <c r="AZ22" i="1"/>
  <c r="AY23" i="1"/>
  <c r="BH23" i="1" l="1"/>
  <c r="BG23" i="1"/>
  <c r="BD26" i="21"/>
  <c r="BH26" i="21"/>
  <c r="BG26" i="22"/>
  <c r="BF26" i="22"/>
  <c r="BD26" i="22"/>
  <c r="BH26" i="22"/>
  <c r="BN26" i="22"/>
  <c r="BT26" i="22"/>
  <c r="BS26" i="22"/>
  <c r="BR26" i="22"/>
  <c r="BQ26" i="22"/>
  <c r="BP26" i="22"/>
  <c r="BO26" i="22"/>
  <c r="BR23" i="1"/>
  <c r="BQ23" i="1"/>
  <c r="BP23" i="1"/>
  <c r="BT23" i="1"/>
  <c r="BS23" i="1"/>
  <c r="BA26" i="23"/>
  <c r="BO26" i="23"/>
  <c r="BG26" i="23"/>
  <c r="BN26" i="23"/>
  <c r="BF26" i="23"/>
  <c r="BM26" i="23"/>
  <c r="BD26" i="23"/>
  <c r="BL26" i="23"/>
  <c r="BK26" i="23"/>
  <c r="BJ26" i="23"/>
  <c r="BQ26" i="23"/>
  <c r="BI26" i="23"/>
  <c r="BP26" i="23"/>
  <c r="BH26" i="23"/>
  <c r="T27" i="25"/>
  <c r="U27" i="25" s="1"/>
  <c r="V27" i="25" s="1"/>
  <c r="R27" i="25"/>
  <c r="S27" i="25" s="1"/>
  <c r="P28" i="25"/>
  <c r="Q27" i="25"/>
  <c r="Z26" i="25"/>
  <c r="AC26" i="25"/>
  <c r="AB26" i="25"/>
  <c r="Y26" i="25"/>
  <c r="X26" i="25"/>
  <c r="AA26" i="25"/>
  <c r="W26" i="25"/>
  <c r="BF26" i="21"/>
  <c r="BG26" i="21"/>
  <c r="BC23" i="1"/>
  <c r="BF23" i="1"/>
  <c r="BE26" i="22"/>
  <c r="BB26" i="22"/>
  <c r="BA26" i="22"/>
  <c r="BC26" i="22"/>
  <c r="AZ26" i="22"/>
  <c r="AY27" i="22"/>
  <c r="AY27" i="23"/>
  <c r="BE26" i="23"/>
  <c r="BC26" i="23"/>
  <c r="BB26" i="23"/>
  <c r="AZ26" i="23"/>
  <c r="BB26" i="21"/>
  <c r="BE26" i="21"/>
  <c r="BC26" i="21"/>
  <c r="BA26" i="21"/>
  <c r="AZ26" i="21"/>
  <c r="AY27" i="21"/>
  <c r="BB23" i="1"/>
  <c r="BA23" i="1"/>
  <c r="BE23" i="1"/>
  <c r="BD23" i="1"/>
  <c r="AZ23" i="1"/>
  <c r="AY24" i="1"/>
  <c r="BG24" i="1" l="1"/>
  <c r="BH24" i="1"/>
  <c r="BD27" i="21"/>
  <c r="BH27" i="21"/>
  <c r="BF27" i="22"/>
  <c r="BD27" i="22"/>
  <c r="BH27" i="22"/>
  <c r="BG27" i="22"/>
  <c r="BN27" i="22"/>
  <c r="BT27" i="22"/>
  <c r="BS27" i="22"/>
  <c r="BR27" i="22"/>
  <c r="BQ27" i="22"/>
  <c r="BP27" i="22"/>
  <c r="BO27" i="22"/>
  <c r="BS24" i="1"/>
  <c r="BR24" i="1"/>
  <c r="BQ24" i="1"/>
  <c r="BP24" i="1"/>
  <c r="BT24" i="1"/>
  <c r="BA27" i="23"/>
  <c r="BO27" i="23"/>
  <c r="BG27" i="23"/>
  <c r="BN27" i="23"/>
  <c r="BF27" i="23"/>
  <c r="BM27" i="23"/>
  <c r="BD27" i="23"/>
  <c r="BL27" i="23"/>
  <c r="BK27" i="23"/>
  <c r="BJ27" i="23"/>
  <c r="BQ27" i="23"/>
  <c r="BI27" i="23"/>
  <c r="BP27" i="23"/>
  <c r="BH27" i="23"/>
  <c r="R28" i="25"/>
  <c r="S28" i="25" s="1"/>
  <c r="P29" i="25"/>
  <c r="Q28" i="25"/>
  <c r="T28" i="25"/>
  <c r="U28" i="25" s="1"/>
  <c r="V28" i="25" s="1"/>
  <c r="Z27" i="25"/>
  <c r="W27" i="25"/>
  <c r="Y27" i="25"/>
  <c r="X27" i="25"/>
  <c r="AC27" i="25"/>
  <c r="AA27" i="25"/>
  <c r="AB27" i="25"/>
  <c r="BF27" i="21"/>
  <c r="BG27" i="21"/>
  <c r="BC24" i="1"/>
  <c r="BF24" i="1"/>
  <c r="BB27" i="23"/>
  <c r="AY28" i="23"/>
  <c r="BE27" i="23"/>
  <c r="BC27" i="23"/>
  <c r="AZ27" i="23"/>
  <c r="AY28" i="22"/>
  <c r="BA27" i="22"/>
  <c r="BE27" i="22"/>
  <c r="BB27" i="22"/>
  <c r="BC27" i="22"/>
  <c r="AZ27" i="22"/>
  <c r="BC27" i="21"/>
  <c r="AY28" i="21"/>
  <c r="BA27" i="21"/>
  <c r="AZ27" i="21"/>
  <c r="BB27" i="21"/>
  <c r="BE27" i="21"/>
  <c r="BB24" i="1"/>
  <c r="BA24" i="1"/>
  <c r="BE24" i="1"/>
  <c r="BD24" i="1"/>
  <c r="AZ24" i="1"/>
  <c r="AY25" i="1"/>
  <c r="BH25" i="1" l="1"/>
  <c r="BG25" i="1"/>
  <c r="BD28" i="21"/>
  <c r="BH28" i="21"/>
  <c r="BD28" i="22"/>
  <c r="BH28" i="22"/>
  <c r="BG28" i="22"/>
  <c r="BF28" i="22"/>
  <c r="BN28" i="22"/>
  <c r="BT28" i="22"/>
  <c r="BS28" i="22"/>
  <c r="BR28" i="22"/>
  <c r="BQ28" i="22"/>
  <c r="BP28" i="22"/>
  <c r="BO28" i="22"/>
  <c r="BT25" i="1"/>
  <c r="BS25" i="1"/>
  <c r="BR25" i="1"/>
  <c r="BQ25" i="1"/>
  <c r="BP25" i="1"/>
  <c r="BA28" i="23"/>
  <c r="BO28" i="23"/>
  <c r="BG28" i="23"/>
  <c r="BN28" i="23"/>
  <c r="BF28" i="23"/>
  <c r="BM28" i="23"/>
  <c r="BD28" i="23"/>
  <c r="BL28" i="23"/>
  <c r="BK28" i="23"/>
  <c r="BJ28" i="23"/>
  <c r="BQ28" i="23"/>
  <c r="BI28" i="23"/>
  <c r="BP28" i="23"/>
  <c r="BH28" i="23"/>
  <c r="T29" i="25"/>
  <c r="U29" i="25" s="1"/>
  <c r="V29" i="25" s="1"/>
  <c r="R29" i="25"/>
  <c r="S29" i="25" s="1"/>
  <c r="P30" i="25"/>
  <c r="Q29" i="25"/>
  <c r="AC28" i="25"/>
  <c r="AA28" i="25"/>
  <c r="Y28" i="25"/>
  <c r="X28" i="25"/>
  <c r="Z28" i="25"/>
  <c r="AB28" i="25"/>
  <c r="W28" i="25"/>
  <c r="BF28" i="21"/>
  <c r="BG28" i="21"/>
  <c r="BC25" i="1"/>
  <c r="BF25" i="1"/>
  <c r="AY29" i="22"/>
  <c r="BE28" i="22"/>
  <c r="BA28" i="22"/>
  <c r="BC28" i="22"/>
  <c r="BB28" i="22"/>
  <c r="AZ28" i="22"/>
  <c r="BE28" i="21"/>
  <c r="BC28" i="21"/>
  <c r="AY29" i="21"/>
  <c r="AZ28" i="21"/>
  <c r="BB28" i="21"/>
  <c r="BA28" i="21"/>
  <c r="AY29" i="23"/>
  <c r="AZ28" i="23"/>
  <c r="BB28" i="23"/>
  <c r="BE28" i="23"/>
  <c r="BC28" i="23"/>
  <c r="BD25" i="1"/>
  <c r="BB25" i="1"/>
  <c r="BA25" i="1"/>
  <c r="BE25" i="1"/>
  <c r="AZ25" i="1"/>
  <c r="AY26" i="1"/>
  <c r="BH26" i="1" l="1"/>
  <c r="BG26" i="1"/>
  <c r="BD29" i="21"/>
  <c r="BH29" i="21"/>
  <c r="BH29" i="22"/>
  <c r="BG29" i="22"/>
  <c r="BF29" i="22"/>
  <c r="BD29" i="22"/>
  <c r="BN29" i="22"/>
  <c r="BT29" i="22"/>
  <c r="BS29" i="22"/>
  <c r="BR29" i="22"/>
  <c r="BQ29" i="22"/>
  <c r="BP29" i="22"/>
  <c r="BO29" i="22"/>
  <c r="BT26" i="1"/>
  <c r="BS26" i="1"/>
  <c r="BR26" i="1"/>
  <c r="BQ26" i="1"/>
  <c r="BP26" i="1"/>
  <c r="BA29" i="23"/>
  <c r="BO29" i="23"/>
  <c r="BG29" i="23"/>
  <c r="BN29" i="23"/>
  <c r="BF29" i="23"/>
  <c r="BM29" i="23"/>
  <c r="BD29" i="23"/>
  <c r="BL29" i="23"/>
  <c r="BK29" i="23"/>
  <c r="BJ29" i="23"/>
  <c r="BQ29" i="23"/>
  <c r="BI29" i="23"/>
  <c r="BP29" i="23"/>
  <c r="BH29" i="23"/>
  <c r="T30" i="25"/>
  <c r="U30" i="25" s="1"/>
  <c r="V30" i="25" s="1"/>
  <c r="R30" i="25"/>
  <c r="S30" i="25" s="1"/>
  <c r="Q30" i="25"/>
  <c r="P31" i="25"/>
  <c r="AB29" i="25"/>
  <c r="Z29" i="25"/>
  <c r="AA29" i="25"/>
  <c r="Y29" i="25"/>
  <c r="X29" i="25"/>
  <c r="W29" i="25"/>
  <c r="AC29" i="25"/>
  <c r="BF29" i="21"/>
  <c r="BG29" i="21"/>
  <c r="BC26" i="1"/>
  <c r="BF26" i="1"/>
  <c r="AY30" i="23"/>
  <c r="BC29" i="23"/>
  <c r="BE29" i="23"/>
  <c r="BB29" i="23"/>
  <c r="AZ29" i="23"/>
  <c r="AY30" i="21"/>
  <c r="BE29" i="21"/>
  <c r="AZ29" i="21"/>
  <c r="BB29" i="21"/>
  <c r="BC29" i="21"/>
  <c r="BA29" i="21"/>
  <c r="BB29" i="22"/>
  <c r="BE29" i="22"/>
  <c r="BA29" i="22"/>
  <c r="AY30" i="22"/>
  <c r="AZ29" i="22"/>
  <c r="BC29" i="22"/>
  <c r="BE26" i="1"/>
  <c r="BA26" i="1"/>
  <c r="BD26" i="1"/>
  <c r="BB26" i="1"/>
  <c r="AZ26" i="1"/>
  <c r="AY27" i="1"/>
  <c r="BH27" i="1" l="1"/>
  <c r="BG27" i="1"/>
  <c r="BD30" i="21"/>
  <c r="BH30" i="21"/>
  <c r="BH30" i="22"/>
  <c r="BG30" i="22"/>
  <c r="BF30" i="22"/>
  <c r="BD30" i="22"/>
  <c r="BN30" i="22"/>
  <c r="BT30" i="22"/>
  <c r="BS30" i="22"/>
  <c r="BR30" i="22"/>
  <c r="BQ30" i="22"/>
  <c r="BP30" i="22"/>
  <c r="BO30" i="22"/>
  <c r="BT27" i="1"/>
  <c r="BS27" i="1"/>
  <c r="BR27" i="1"/>
  <c r="BQ27" i="1"/>
  <c r="BP27" i="1"/>
  <c r="BA30" i="23"/>
  <c r="BO30" i="23"/>
  <c r="BG30" i="23"/>
  <c r="BN30" i="23"/>
  <c r="BF30" i="23"/>
  <c r="BM30" i="23"/>
  <c r="BD30" i="23"/>
  <c r="BL30" i="23"/>
  <c r="BK30" i="23"/>
  <c r="BJ30" i="23"/>
  <c r="BQ30" i="23"/>
  <c r="BI30" i="23"/>
  <c r="BP30" i="23"/>
  <c r="BH30" i="23"/>
  <c r="T31" i="25"/>
  <c r="U31" i="25" s="1"/>
  <c r="V31" i="25" s="1"/>
  <c r="R31" i="25"/>
  <c r="S31" i="25" s="1"/>
  <c r="P32" i="25"/>
  <c r="Q31" i="25"/>
  <c r="AB30" i="25"/>
  <c r="Z30" i="25"/>
  <c r="AC30" i="25"/>
  <c r="Y30" i="25"/>
  <c r="X30" i="25"/>
  <c r="W30" i="25"/>
  <c r="AA30" i="25"/>
  <c r="BF30" i="21"/>
  <c r="BG30" i="21"/>
  <c r="BC27" i="1"/>
  <c r="BF27" i="1"/>
  <c r="BC30" i="21"/>
  <c r="BB30" i="21"/>
  <c r="AZ30" i="21"/>
  <c r="AY31" i="21"/>
  <c r="BA30" i="21"/>
  <c r="BE30" i="21"/>
  <c r="BE30" i="22"/>
  <c r="BB30" i="22"/>
  <c r="BA30" i="22"/>
  <c r="BC30" i="22"/>
  <c r="AZ30" i="22"/>
  <c r="AY31" i="22"/>
  <c r="BE30" i="23"/>
  <c r="AY31" i="23"/>
  <c r="BC30" i="23"/>
  <c r="BB30" i="23"/>
  <c r="AZ30" i="23"/>
  <c r="BE27" i="1"/>
  <c r="BB27" i="1"/>
  <c r="BD27" i="1"/>
  <c r="BA27" i="1"/>
  <c r="AZ27" i="1"/>
  <c r="AY28" i="1"/>
  <c r="BH28" i="1" l="1"/>
  <c r="BG28" i="1"/>
  <c r="BD31" i="21"/>
  <c r="BH31" i="21"/>
  <c r="BH31" i="22"/>
  <c r="BG31" i="22"/>
  <c r="BF31" i="22"/>
  <c r="BD31" i="22"/>
  <c r="BN31" i="22"/>
  <c r="BT31" i="22"/>
  <c r="BS31" i="22"/>
  <c r="BR31" i="22"/>
  <c r="BQ31" i="22"/>
  <c r="BP31" i="22"/>
  <c r="BO31" i="22"/>
  <c r="BT28" i="1"/>
  <c r="BS28" i="1"/>
  <c r="BR28" i="1"/>
  <c r="BQ28" i="1"/>
  <c r="BP28" i="1"/>
  <c r="BA31" i="23"/>
  <c r="BO31" i="23"/>
  <c r="BG31" i="23"/>
  <c r="BN31" i="23"/>
  <c r="BF31" i="23"/>
  <c r="BM31" i="23"/>
  <c r="BD31" i="23"/>
  <c r="BL31" i="23"/>
  <c r="BK31" i="23"/>
  <c r="BJ31" i="23"/>
  <c r="BQ31" i="23"/>
  <c r="BI31" i="23"/>
  <c r="BP31" i="23"/>
  <c r="BH31" i="23"/>
  <c r="T32" i="25"/>
  <c r="U32" i="25" s="1"/>
  <c r="V32" i="25" s="1"/>
  <c r="R32" i="25"/>
  <c r="S32" i="25" s="1"/>
  <c r="P33" i="25"/>
  <c r="Q32" i="25"/>
  <c r="AC31" i="25"/>
  <c r="AA31" i="25"/>
  <c r="Z31" i="25"/>
  <c r="X31" i="25"/>
  <c r="W31" i="25"/>
  <c r="AB31" i="25"/>
  <c r="Y31" i="25"/>
  <c r="BF31" i="21"/>
  <c r="BG31" i="21"/>
  <c r="BC28" i="1"/>
  <c r="BF28" i="1"/>
  <c r="AY32" i="23"/>
  <c r="BC31" i="23"/>
  <c r="BB31" i="23"/>
  <c r="AZ31" i="23"/>
  <c r="BE31" i="23"/>
  <c r="BB31" i="22"/>
  <c r="AY32" i="22"/>
  <c r="BE31" i="22"/>
  <c r="BC31" i="22"/>
  <c r="AZ31" i="22"/>
  <c r="BA31" i="22"/>
  <c r="BE31" i="21"/>
  <c r="AZ31" i="21"/>
  <c r="BC31" i="21"/>
  <c r="BA31" i="21"/>
  <c r="BB31" i="21"/>
  <c r="AY32" i="21"/>
  <c r="BE28" i="1"/>
  <c r="BD28" i="1"/>
  <c r="BA28" i="1"/>
  <c r="BB28" i="1"/>
  <c r="AZ28" i="1"/>
  <c r="AY29" i="1"/>
  <c r="BH29" i="1" l="1"/>
  <c r="BG29" i="1"/>
  <c r="BD32" i="21"/>
  <c r="BH32" i="21"/>
  <c r="BH32" i="22"/>
  <c r="BG32" i="22"/>
  <c r="BF32" i="22"/>
  <c r="BD32" i="22"/>
  <c r="BN32" i="22"/>
  <c r="BT32" i="22"/>
  <c r="BS32" i="22"/>
  <c r="BR32" i="22"/>
  <c r="BQ32" i="22"/>
  <c r="BP32" i="22"/>
  <c r="BO32" i="22"/>
  <c r="BP29" i="1"/>
  <c r="BT29" i="1"/>
  <c r="BS29" i="1"/>
  <c r="BR29" i="1"/>
  <c r="BQ29" i="1"/>
  <c r="BA32" i="23"/>
  <c r="BO32" i="23"/>
  <c r="BG32" i="23"/>
  <c r="BN32" i="23"/>
  <c r="BF32" i="23"/>
  <c r="BM32" i="23"/>
  <c r="BD32" i="23"/>
  <c r="BL32" i="23"/>
  <c r="BK32" i="23"/>
  <c r="BJ32" i="23"/>
  <c r="BQ32" i="23"/>
  <c r="BI32" i="23"/>
  <c r="BP32" i="23"/>
  <c r="BH32" i="23"/>
  <c r="T33" i="25"/>
  <c r="U33" i="25" s="1"/>
  <c r="V33" i="25" s="1"/>
  <c r="R33" i="25"/>
  <c r="S33" i="25" s="1"/>
  <c r="P34" i="25"/>
  <c r="Q33" i="25"/>
  <c r="AB32" i="25"/>
  <c r="AA32" i="25"/>
  <c r="Z32" i="25"/>
  <c r="X32" i="25"/>
  <c r="Y32" i="25"/>
  <c r="W32" i="25"/>
  <c r="AC32" i="25"/>
  <c r="BF32" i="21"/>
  <c r="BG32" i="21"/>
  <c r="BC29" i="1"/>
  <c r="BF29" i="1"/>
  <c r="AY33" i="22"/>
  <c r="BA32" i="22"/>
  <c r="BE32" i="22"/>
  <c r="BC32" i="22"/>
  <c r="AZ32" i="22"/>
  <c r="BB32" i="22"/>
  <c r="BE32" i="21"/>
  <c r="AY33" i="21"/>
  <c r="AZ32" i="21"/>
  <c r="BB32" i="21"/>
  <c r="BC32" i="21"/>
  <c r="BA32" i="21"/>
  <c r="BB32" i="23"/>
  <c r="BC32" i="23"/>
  <c r="AY33" i="23"/>
  <c r="BE32" i="23"/>
  <c r="AZ32" i="23"/>
  <c r="BE29" i="1"/>
  <c r="BD29" i="1"/>
  <c r="BB29" i="1"/>
  <c r="BA29" i="1"/>
  <c r="AZ29" i="1"/>
  <c r="AY30" i="1"/>
  <c r="BH30" i="1" l="1"/>
  <c r="BG30" i="1"/>
  <c r="BD33" i="21"/>
  <c r="BH33" i="21"/>
  <c r="BH33" i="22"/>
  <c r="BG33" i="22"/>
  <c r="BF33" i="22"/>
  <c r="BD33" i="22"/>
  <c r="BN33" i="22"/>
  <c r="BT33" i="22"/>
  <c r="BS33" i="22"/>
  <c r="BR33" i="22"/>
  <c r="BQ33" i="22"/>
  <c r="BP33" i="22"/>
  <c r="BO33" i="22"/>
  <c r="BQ30" i="1"/>
  <c r="BP30" i="1"/>
  <c r="BT30" i="1"/>
  <c r="BS30" i="1"/>
  <c r="BR30" i="1"/>
  <c r="BA33" i="23"/>
  <c r="BO33" i="23"/>
  <c r="BG33" i="23"/>
  <c r="BN33" i="23"/>
  <c r="BF33" i="23"/>
  <c r="BM33" i="23"/>
  <c r="BD33" i="23"/>
  <c r="BL33" i="23"/>
  <c r="BK33" i="23"/>
  <c r="BJ33" i="23"/>
  <c r="BQ33" i="23"/>
  <c r="BI33" i="23"/>
  <c r="BP33" i="23"/>
  <c r="BH33" i="23"/>
  <c r="R34" i="25"/>
  <c r="S34" i="25" s="1"/>
  <c r="P35" i="25"/>
  <c r="Q34" i="25"/>
  <c r="T34" i="25"/>
  <c r="U34" i="25" s="1"/>
  <c r="V34" i="25" s="1"/>
  <c r="Y33" i="25"/>
  <c r="AB33" i="25"/>
  <c r="Z33" i="25"/>
  <c r="W33" i="25"/>
  <c r="AA33" i="25"/>
  <c r="AC33" i="25"/>
  <c r="X33" i="25"/>
  <c r="BF33" i="21"/>
  <c r="BG33" i="21"/>
  <c r="BC30" i="1"/>
  <c r="BF30" i="1"/>
  <c r="BA33" i="21"/>
  <c r="BC33" i="21"/>
  <c r="AY34" i="21"/>
  <c r="BE33" i="21"/>
  <c r="AZ33" i="21"/>
  <c r="BB33" i="21"/>
  <c r="BC33" i="23"/>
  <c r="AY34" i="23"/>
  <c r="BB33" i="23"/>
  <c r="BE33" i="23"/>
  <c r="AZ33" i="23"/>
  <c r="BC33" i="22"/>
  <c r="AY34" i="22"/>
  <c r="BB33" i="22"/>
  <c r="BA33" i="22"/>
  <c r="AZ33" i="22"/>
  <c r="BE33" i="22"/>
  <c r="BA30" i="1"/>
  <c r="BE30" i="1"/>
  <c r="BD30" i="1"/>
  <c r="BB30" i="1"/>
  <c r="AZ30" i="1"/>
  <c r="AY31" i="1"/>
  <c r="BG31" i="1" l="1"/>
  <c r="BH31" i="1"/>
  <c r="BD34" i="21"/>
  <c r="BH34" i="21"/>
  <c r="BG34" i="22"/>
  <c r="BF34" i="22"/>
  <c r="BD34" i="22"/>
  <c r="BH34" i="22"/>
  <c r="BN34" i="22"/>
  <c r="BT34" i="22"/>
  <c r="BS34" i="22"/>
  <c r="BR34" i="22"/>
  <c r="BQ34" i="22"/>
  <c r="BP34" i="22"/>
  <c r="BO34" i="22"/>
  <c r="BR31" i="1"/>
  <c r="BQ31" i="1"/>
  <c r="BP31" i="1"/>
  <c r="BT31" i="1"/>
  <c r="BS31" i="1"/>
  <c r="BA34" i="23"/>
  <c r="BO34" i="23"/>
  <c r="BG34" i="23"/>
  <c r="BN34" i="23"/>
  <c r="BF34" i="23"/>
  <c r="BM34" i="23"/>
  <c r="BD34" i="23"/>
  <c r="BL34" i="23"/>
  <c r="BK34" i="23"/>
  <c r="BJ34" i="23"/>
  <c r="BQ34" i="23"/>
  <c r="BI34" i="23"/>
  <c r="BP34" i="23"/>
  <c r="BH34" i="23"/>
  <c r="T35" i="25"/>
  <c r="U35" i="25" s="1"/>
  <c r="V35" i="25" s="1"/>
  <c r="R35" i="25"/>
  <c r="S35" i="25" s="1"/>
  <c r="P36" i="25"/>
  <c r="Q35" i="25"/>
  <c r="Y34" i="25"/>
  <c r="AC34" i="25"/>
  <c r="AB34" i="25"/>
  <c r="Z34" i="25"/>
  <c r="X34" i="25"/>
  <c r="W34" i="25"/>
  <c r="AA34" i="25"/>
  <c r="BF34" i="21"/>
  <c r="BG34" i="21"/>
  <c r="BC31" i="1"/>
  <c r="BF31" i="1"/>
  <c r="AY35" i="23"/>
  <c r="BE34" i="23"/>
  <c r="BC34" i="23"/>
  <c r="AZ34" i="23"/>
  <c r="BB34" i="23"/>
  <c r="BE34" i="22"/>
  <c r="BB34" i="22"/>
  <c r="BC34" i="22"/>
  <c r="BA34" i="22"/>
  <c r="AZ34" i="22"/>
  <c r="AY35" i="22"/>
  <c r="BC34" i="21"/>
  <c r="BA34" i="21"/>
  <c r="AZ34" i="21"/>
  <c r="AY35" i="21"/>
  <c r="BB34" i="21"/>
  <c r="BE34" i="21"/>
  <c r="BB31" i="1"/>
  <c r="BA31" i="1"/>
  <c r="BE31" i="1"/>
  <c r="BD31" i="1"/>
  <c r="AZ31" i="1"/>
  <c r="AY32" i="1"/>
  <c r="BG32" i="1" l="1"/>
  <c r="BH32" i="1"/>
  <c r="BD35" i="21"/>
  <c r="BH35" i="21"/>
  <c r="BF35" i="22"/>
  <c r="BD35" i="22"/>
  <c r="BH35" i="22"/>
  <c r="BG35" i="22"/>
  <c r="BN35" i="22"/>
  <c r="BT35" i="22"/>
  <c r="BS35" i="22"/>
  <c r="BR35" i="22"/>
  <c r="BQ35" i="22"/>
  <c r="BP35" i="22"/>
  <c r="BO35" i="22"/>
  <c r="BS32" i="1"/>
  <c r="BR32" i="1"/>
  <c r="BQ32" i="1"/>
  <c r="BP32" i="1"/>
  <c r="BT32" i="1"/>
  <c r="BA35" i="23"/>
  <c r="BO35" i="23"/>
  <c r="BG35" i="23"/>
  <c r="BN35" i="23"/>
  <c r="BF35" i="23"/>
  <c r="BM35" i="23"/>
  <c r="BD35" i="23"/>
  <c r="BL35" i="23"/>
  <c r="BK35" i="23"/>
  <c r="BJ35" i="23"/>
  <c r="BQ35" i="23"/>
  <c r="BI35" i="23"/>
  <c r="BP35" i="23"/>
  <c r="BH35" i="23"/>
  <c r="T36" i="25"/>
  <c r="U36" i="25" s="1"/>
  <c r="V36" i="25" s="1"/>
  <c r="R36" i="25"/>
  <c r="S36" i="25" s="1"/>
  <c r="P37" i="25"/>
  <c r="Q36" i="25"/>
  <c r="X35" i="25"/>
  <c r="AA35" i="25"/>
  <c r="Z35" i="25"/>
  <c r="W35" i="25"/>
  <c r="AB35" i="25"/>
  <c r="AC35" i="25"/>
  <c r="Y35" i="25"/>
  <c r="BF35" i="21"/>
  <c r="BG35" i="21"/>
  <c r="BC32" i="1"/>
  <c r="BF32" i="1"/>
  <c r="AY36" i="21"/>
  <c r="BE35" i="21"/>
  <c r="BB35" i="21"/>
  <c r="BA35" i="21"/>
  <c r="BC35" i="21"/>
  <c r="AZ35" i="21"/>
  <c r="BC35" i="22"/>
  <c r="AY36" i="22"/>
  <c r="AZ35" i="22"/>
  <c r="BE35" i="22"/>
  <c r="BA35" i="22"/>
  <c r="BB35" i="22"/>
  <c r="AY36" i="23"/>
  <c r="BE35" i="23"/>
  <c r="BB35" i="23"/>
  <c r="BC35" i="23"/>
  <c r="AZ35" i="23"/>
  <c r="BB32" i="1"/>
  <c r="BA32" i="1"/>
  <c r="BE32" i="1"/>
  <c r="BD32" i="1"/>
  <c r="AZ32" i="1"/>
  <c r="AY33" i="1"/>
  <c r="BH33" i="1" l="1"/>
  <c r="BG33" i="1"/>
  <c r="BD36" i="21"/>
  <c r="BH36" i="21"/>
  <c r="BD36" i="22"/>
  <c r="BH36" i="22"/>
  <c r="BG36" i="22"/>
  <c r="BF36" i="22"/>
  <c r="BN36" i="22"/>
  <c r="BT36" i="22"/>
  <c r="BS36" i="22"/>
  <c r="BR36" i="22"/>
  <c r="BQ36" i="22"/>
  <c r="BP36" i="22"/>
  <c r="BO36" i="22"/>
  <c r="BT33" i="1"/>
  <c r="BS33" i="1"/>
  <c r="BR33" i="1"/>
  <c r="BQ33" i="1"/>
  <c r="BP33" i="1"/>
  <c r="BA36" i="23"/>
  <c r="BO36" i="23"/>
  <c r="BG36" i="23"/>
  <c r="BN36" i="23"/>
  <c r="BF36" i="23"/>
  <c r="BM36" i="23"/>
  <c r="BD36" i="23"/>
  <c r="BL36" i="23"/>
  <c r="BK36" i="23"/>
  <c r="BJ36" i="23"/>
  <c r="BQ36" i="23"/>
  <c r="BI36" i="23"/>
  <c r="BP36" i="23"/>
  <c r="BH36" i="23"/>
  <c r="T37" i="25"/>
  <c r="U37" i="25" s="1"/>
  <c r="V37" i="25" s="1"/>
  <c r="R37" i="25"/>
  <c r="S37" i="25" s="1"/>
  <c r="P38" i="25"/>
  <c r="Q37" i="25"/>
  <c r="AA36" i="25"/>
  <c r="Y36" i="25"/>
  <c r="Z36" i="25"/>
  <c r="X36" i="25"/>
  <c r="W36" i="25"/>
  <c r="AC36" i="25"/>
  <c r="AB36" i="25"/>
  <c r="BF36" i="21"/>
  <c r="BG36" i="21"/>
  <c r="BC33" i="1"/>
  <c r="BF33" i="1"/>
  <c r="BE36" i="22"/>
  <c r="AY37" i="22"/>
  <c r="BC36" i="22"/>
  <c r="AZ36" i="22"/>
  <c r="BB36" i="22"/>
  <c r="BA36" i="22"/>
  <c r="BB36" i="23"/>
  <c r="BC36" i="23"/>
  <c r="BE36" i="23"/>
  <c r="AZ36" i="23"/>
  <c r="AY37" i="23"/>
  <c r="AZ36" i="21"/>
  <c r="BC36" i="21"/>
  <c r="BE36" i="21"/>
  <c r="BB36" i="21"/>
  <c r="BA36" i="21"/>
  <c r="AY37" i="21"/>
  <c r="BD33" i="1"/>
  <c r="BA33" i="1"/>
  <c r="BE33" i="1"/>
  <c r="BB33" i="1"/>
  <c r="AZ33" i="1"/>
  <c r="AY34" i="1"/>
  <c r="BG34" i="1" l="1"/>
  <c r="BH34" i="1"/>
  <c r="BD37" i="21"/>
  <c r="BH37" i="21"/>
  <c r="BH37" i="22"/>
  <c r="BG37" i="22"/>
  <c r="BF37" i="22"/>
  <c r="BD37" i="22"/>
  <c r="BN37" i="22"/>
  <c r="BT37" i="22"/>
  <c r="BS37" i="22"/>
  <c r="BR37" i="22"/>
  <c r="BQ37" i="22"/>
  <c r="BP37" i="22"/>
  <c r="BO37" i="22"/>
  <c r="BT34" i="1"/>
  <c r="BS34" i="1"/>
  <c r="BR34" i="1"/>
  <c r="BQ34" i="1"/>
  <c r="BP34" i="1"/>
  <c r="BA37" i="23"/>
  <c r="BO37" i="23"/>
  <c r="BG37" i="23"/>
  <c r="BN37" i="23"/>
  <c r="BF37" i="23"/>
  <c r="BM37" i="23"/>
  <c r="BD37" i="23"/>
  <c r="BL37" i="23"/>
  <c r="BK37" i="23"/>
  <c r="BJ37" i="23"/>
  <c r="BQ37" i="23"/>
  <c r="BI37" i="23"/>
  <c r="BP37" i="23"/>
  <c r="BH37" i="23"/>
  <c r="R38" i="25"/>
  <c r="S38" i="25" s="1"/>
  <c r="Q38" i="25"/>
  <c r="P39" i="25"/>
  <c r="T38" i="25"/>
  <c r="U38" i="25" s="1"/>
  <c r="V38" i="25" s="1"/>
  <c r="AC37" i="25"/>
  <c r="AB37" i="25"/>
  <c r="AA37" i="25"/>
  <c r="Y37" i="25"/>
  <c r="X37" i="25"/>
  <c r="Z37" i="25"/>
  <c r="W37" i="25"/>
  <c r="BF37" i="21"/>
  <c r="BG37" i="21"/>
  <c r="BC34" i="1"/>
  <c r="BF34" i="1"/>
  <c r="BC37" i="23"/>
  <c r="BB37" i="23"/>
  <c r="BE37" i="23"/>
  <c r="AZ37" i="23"/>
  <c r="BE37" i="22"/>
  <c r="BC37" i="22"/>
  <c r="BA37" i="22"/>
  <c r="BB37" i="22"/>
  <c r="AZ37" i="22"/>
  <c r="BC37" i="21"/>
  <c r="BB37" i="21"/>
  <c r="AZ37" i="21"/>
  <c r="BA37" i="21"/>
  <c r="BE37" i="21"/>
  <c r="BE34" i="1"/>
  <c r="BD34" i="1"/>
  <c r="BB34" i="1"/>
  <c r="BA34" i="1"/>
  <c r="AZ34" i="1"/>
  <c r="AY35" i="1"/>
  <c r="BH35" i="1" l="1"/>
  <c r="BG35" i="1"/>
  <c r="BT35" i="1"/>
  <c r="BS35" i="1"/>
  <c r="BR35" i="1"/>
  <c r="BQ35" i="1"/>
  <c r="BP35" i="1"/>
  <c r="Q39" i="25"/>
  <c r="R39" i="25"/>
  <c r="S39" i="25" s="1"/>
  <c r="P40" i="25"/>
  <c r="T39" i="25"/>
  <c r="U39" i="25" s="1"/>
  <c r="V39" i="25" s="1"/>
  <c r="AC38" i="25"/>
  <c r="AA38" i="25"/>
  <c r="AB38" i="25"/>
  <c r="Y38" i="25"/>
  <c r="X38" i="25"/>
  <c r="W38" i="25"/>
  <c r="Z38" i="25"/>
  <c r="BC35" i="1"/>
  <c r="BF35" i="1"/>
  <c r="BE35" i="1"/>
  <c r="BD35" i="1"/>
  <c r="BA35" i="1"/>
  <c r="BB35" i="1"/>
  <c r="AZ35" i="1"/>
  <c r="AY36" i="1"/>
  <c r="BH36" i="1" l="1"/>
  <c r="BG36" i="1"/>
  <c r="BT36" i="1"/>
  <c r="BS36" i="1"/>
  <c r="BR36" i="1"/>
  <c r="BQ36" i="1"/>
  <c r="BP36" i="1"/>
  <c r="Q40" i="25"/>
  <c r="P41" i="25"/>
  <c r="R40" i="25"/>
  <c r="S40" i="25" s="1"/>
  <c r="T40" i="25"/>
  <c r="U40" i="25" s="1"/>
  <c r="V40" i="25" s="1"/>
  <c r="AB39" i="25"/>
  <c r="AC39" i="25"/>
  <c r="AA39" i="25"/>
  <c r="Z39" i="25"/>
  <c r="W39" i="25"/>
  <c r="X39" i="25"/>
  <c r="Y39" i="25"/>
  <c r="BC36" i="1"/>
  <c r="BF36" i="1"/>
  <c r="BE36" i="1"/>
  <c r="BD36" i="1"/>
  <c r="BB36" i="1"/>
  <c r="BA36" i="1"/>
  <c r="AZ36" i="1"/>
  <c r="AY37" i="1"/>
  <c r="BH37" i="1" l="1"/>
  <c r="BG37" i="1"/>
  <c r="BP37" i="1"/>
  <c r="BT37" i="1"/>
  <c r="BS37" i="1"/>
  <c r="BR37" i="1"/>
  <c r="BQ37" i="1"/>
  <c r="AC40" i="25"/>
  <c r="W40" i="25"/>
  <c r="AB40" i="25"/>
  <c r="Z40" i="25"/>
  <c r="X40" i="25"/>
  <c r="AA40" i="25"/>
  <c r="Y40" i="25"/>
  <c r="Q41" i="25"/>
  <c r="R41" i="25"/>
  <c r="S41" i="25" s="1"/>
  <c r="P42" i="25"/>
  <c r="T41" i="25"/>
  <c r="U41" i="25" s="1"/>
  <c r="V41" i="25" s="1"/>
  <c r="BC37" i="1"/>
  <c r="BF37" i="1"/>
  <c r="BE37" i="1"/>
  <c r="BD37" i="1"/>
  <c r="BB37" i="1"/>
  <c r="BA37" i="1"/>
  <c r="AZ37" i="1"/>
  <c r="Q42" i="25" l="1"/>
  <c r="R42" i="25"/>
  <c r="S42" i="25" s="1"/>
  <c r="P43" i="25"/>
  <c r="T42" i="25"/>
  <c r="U42" i="25" s="1"/>
  <c r="V42" i="25" s="1"/>
  <c r="AA41" i="25"/>
  <c r="Z41" i="25"/>
  <c r="W41" i="25"/>
  <c r="Y41" i="25"/>
  <c r="AC41" i="25"/>
  <c r="X41" i="25"/>
  <c r="AB41" i="25"/>
  <c r="Q43" i="25" l="1"/>
  <c r="R43" i="25"/>
  <c r="S43" i="25" s="1"/>
  <c r="P44" i="25"/>
  <c r="T43" i="25"/>
  <c r="U43" i="25" s="1"/>
  <c r="V43" i="25" s="1"/>
  <c r="Z42" i="25"/>
  <c r="AC42" i="25"/>
  <c r="AB42" i="25"/>
  <c r="W42" i="25"/>
  <c r="AA42" i="25"/>
  <c r="Y42" i="25"/>
  <c r="X42" i="25"/>
  <c r="Q44" i="25" l="1"/>
  <c r="P45" i="25"/>
  <c r="R44" i="25"/>
  <c r="S44" i="25" s="1"/>
  <c r="T44" i="25"/>
  <c r="U44" i="25" s="1"/>
  <c r="V44" i="25" s="1"/>
  <c r="AC43" i="25"/>
  <c r="AB43" i="25"/>
  <c r="Y43" i="25"/>
  <c r="W43" i="25"/>
  <c r="AA43" i="25"/>
  <c r="Z43" i="25"/>
  <c r="X43" i="25"/>
  <c r="AB44" i="25" l="1"/>
  <c r="AA44" i="25"/>
  <c r="Z44" i="25"/>
  <c r="Y44" i="25"/>
  <c r="AC44" i="25"/>
  <c r="W44" i="25"/>
  <c r="X44" i="25"/>
  <c r="Q45" i="25"/>
  <c r="R45" i="25"/>
  <c r="S45" i="25" s="1"/>
  <c r="P46" i="25"/>
  <c r="T45" i="25"/>
  <c r="U45" i="25" s="1"/>
  <c r="V45" i="25" s="1"/>
  <c r="Q46" i="25" l="1"/>
  <c r="P47" i="25"/>
  <c r="R46" i="25"/>
  <c r="S46" i="25" s="1"/>
  <c r="T46" i="25"/>
  <c r="U46" i="25" s="1"/>
  <c r="V46" i="25" s="1"/>
  <c r="AC45" i="25"/>
  <c r="AB45" i="25"/>
  <c r="Z45" i="25"/>
  <c r="AA45" i="25"/>
  <c r="X45" i="25"/>
  <c r="W45" i="25"/>
  <c r="Y45" i="25"/>
  <c r="AC46" i="25" l="1"/>
  <c r="AB46" i="25"/>
  <c r="X46" i="25"/>
  <c r="AA46" i="25"/>
  <c r="Z46" i="25"/>
  <c r="Y46" i="25"/>
  <c r="W46" i="25"/>
  <c r="Q47" i="25"/>
  <c r="R47" i="25"/>
  <c r="S47" i="25" s="1"/>
  <c r="P48" i="25"/>
  <c r="T47" i="25"/>
  <c r="U47" i="25" s="1"/>
  <c r="V47" i="25" s="1"/>
  <c r="Q48" i="25" l="1"/>
  <c r="R48" i="25"/>
  <c r="S48" i="25" s="1"/>
  <c r="P49" i="25"/>
  <c r="T48" i="25"/>
  <c r="U48" i="25" s="1"/>
  <c r="V48" i="25" s="1"/>
  <c r="AB47" i="25"/>
  <c r="AC47" i="25"/>
  <c r="AA47" i="25"/>
  <c r="Y47" i="25"/>
  <c r="W47" i="25"/>
  <c r="X47" i="25"/>
  <c r="Z47" i="25"/>
  <c r="Q49" i="25" l="1"/>
  <c r="P50" i="25"/>
  <c r="R49" i="25"/>
  <c r="S49" i="25" s="1"/>
  <c r="T49" i="25"/>
  <c r="U49" i="25" s="1"/>
  <c r="V49" i="25" s="1"/>
  <c r="AC48" i="25"/>
  <c r="AA48" i="25"/>
  <c r="Z48" i="25"/>
  <c r="W48" i="25"/>
  <c r="AB48" i="25"/>
  <c r="Y48" i="25"/>
  <c r="X48" i="25"/>
  <c r="AA49" i="25" l="1"/>
  <c r="AB49" i="25"/>
  <c r="Z49" i="25"/>
  <c r="Y49" i="25"/>
  <c r="AC49" i="25"/>
  <c r="W49" i="25"/>
  <c r="X49" i="25"/>
  <c r="Q50" i="25"/>
  <c r="R50" i="25"/>
  <c r="S50" i="25" s="1"/>
  <c r="P51" i="25"/>
  <c r="T50" i="25"/>
  <c r="U50" i="25" s="1"/>
  <c r="V50" i="25" s="1"/>
  <c r="Q51" i="25" l="1"/>
  <c r="P52" i="25"/>
  <c r="R51" i="25"/>
  <c r="S51" i="25" s="1"/>
  <c r="T51" i="25"/>
  <c r="U51" i="25" s="1"/>
  <c r="V51" i="25" s="1"/>
  <c r="Z50" i="25"/>
  <c r="AA50" i="25"/>
  <c r="AC50" i="25"/>
  <c r="AB50" i="25"/>
  <c r="Y50" i="25"/>
  <c r="W50" i="25"/>
  <c r="X50" i="25"/>
  <c r="AC51" i="25" l="1"/>
  <c r="AB51" i="25"/>
  <c r="Z51" i="25"/>
  <c r="W51" i="25"/>
  <c r="AA51" i="25"/>
  <c r="X51" i="25"/>
  <c r="Y51" i="25"/>
  <c r="Q52" i="25"/>
  <c r="R52" i="25"/>
  <c r="S52" i="25" s="1"/>
  <c r="P53" i="25"/>
  <c r="T52" i="25"/>
  <c r="U52" i="25" s="1"/>
  <c r="V52" i="25" s="1"/>
  <c r="Q53" i="25" l="1"/>
  <c r="R53" i="25"/>
  <c r="S53" i="25" s="1"/>
  <c r="P54" i="25"/>
  <c r="T53" i="25"/>
  <c r="U53" i="25" s="1"/>
  <c r="V53" i="25" s="1"/>
  <c r="Y52" i="25"/>
  <c r="AB52" i="25"/>
  <c r="AC52" i="25"/>
  <c r="Z52" i="25"/>
  <c r="W52" i="25"/>
  <c r="X52" i="25"/>
  <c r="AA52" i="25"/>
  <c r="Q54" i="25" l="1"/>
  <c r="R54" i="25"/>
  <c r="S54" i="25" s="1"/>
  <c r="P55" i="25"/>
  <c r="T54" i="25"/>
  <c r="U54" i="25" s="1"/>
  <c r="V54" i="25" s="1"/>
  <c r="AC53" i="25"/>
  <c r="Z53" i="25"/>
  <c r="AA53" i="25"/>
  <c r="W53" i="25"/>
  <c r="AB53" i="25"/>
  <c r="X53" i="25"/>
  <c r="Y53" i="25"/>
  <c r="Q55" i="25" l="1"/>
  <c r="R55" i="25"/>
  <c r="S55" i="25" s="1"/>
  <c r="P56" i="25"/>
  <c r="T55" i="25"/>
  <c r="U55" i="25" s="1"/>
  <c r="V55" i="25" s="1"/>
  <c r="AC54" i="25"/>
  <c r="AB54" i="25"/>
  <c r="Z54" i="25"/>
  <c r="X54" i="25"/>
  <c r="AA54" i="25"/>
  <c r="Y54" i="25"/>
  <c r="W54" i="25"/>
  <c r="Q56" i="25" l="1"/>
  <c r="R56" i="25"/>
  <c r="S56" i="25" s="1"/>
  <c r="P57" i="25"/>
  <c r="T56" i="25"/>
  <c r="U56" i="25" s="1"/>
  <c r="V56" i="25" s="1"/>
  <c r="AB55" i="25"/>
  <c r="Z55" i="25"/>
  <c r="W55" i="25"/>
  <c r="AC55" i="25"/>
  <c r="Y55" i="25"/>
  <c r="AA55" i="25"/>
  <c r="X55" i="25"/>
  <c r="Q57" i="25" l="1"/>
  <c r="R57" i="25"/>
  <c r="S57" i="25" s="1"/>
  <c r="P58" i="25"/>
  <c r="T57" i="25"/>
  <c r="U57" i="25" s="1"/>
  <c r="V57" i="25" s="1"/>
  <c r="AC56" i="25"/>
  <c r="AA56" i="25"/>
  <c r="W56" i="25"/>
  <c r="AB56" i="25"/>
  <c r="Y56" i="25"/>
  <c r="X56" i="25"/>
  <c r="Z56" i="25"/>
  <c r="Q58" i="25" l="1"/>
  <c r="R58" i="25"/>
  <c r="S58" i="25" s="1"/>
  <c r="P59" i="25"/>
  <c r="T58" i="25"/>
  <c r="U58" i="25" s="1"/>
  <c r="V58" i="25" s="1"/>
  <c r="W57" i="25"/>
  <c r="X57" i="25"/>
  <c r="Z57" i="25"/>
  <c r="AC57" i="25"/>
  <c r="AA57" i="25"/>
  <c r="Y57" i="25"/>
  <c r="AB57" i="25"/>
  <c r="Q59" i="25" l="1"/>
  <c r="R59" i="25"/>
  <c r="S59" i="25" s="1"/>
  <c r="P60" i="25"/>
  <c r="T59" i="25"/>
  <c r="U59" i="25" s="1"/>
  <c r="V59" i="25" s="1"/>
  <c r="Z58" i="25"/>
  <c r="AC58" i="25"/>
  <c r="W58" i="25"/>
  <c r="X58" i="25"/>
  <c r="AA58" i="25"/>
  <c r="Y58" i="25"/>
  <c r="AB58" i="25"/>
  <c r="Q60" i="25" l="1"/>
  <c r="R60" i="25"/>
  <c r="S60" i="25" s="1"/>
  <c r="P61" i="25"/>
  <c r="T60" i="25"/>
  <c r="U60" i="25" s="1"/>
  <c r="V60" i="25" s="1"/>
  <c r="AC59" i="25"/>
  <c r="Z59" i="25"/>
  <c r="W59" i="25"/>
  <c r="AA59" i="25"/>
  <c r="X59" i="25"/>
  <c r="AB59" i="25"/>
  <c r="Y59" i="25"/>
  <c r="Q61" i="25" l="1"/>
  <c r="R61" i="25"/>
  <c r="S61" i="25" s="1"/>
  <c r="P62" i="25"/>
  <c r="T61" i="25"/>
  <c r="U61" i="25" s="1"/>
  <c r="V61" i="25" s="1"/>
  <c r="Y60" i="25"/>
  <c r="AC60" i="25"/>
  <c r="Z60" i="25"/>
  <c r="W60" i="25"/>
  <c r="AB60" i="25"/>
  <c r="AA60" i="25"/>
  <c r="X60" i="25"/>
  <c r="Q62" i="25" l="1"/>
  <c r="R62" i="25"/>
  <c r="S62" i="25" s="1"/>
  <c r="P63" i="25"/>
  <c r="T62" i="25"/>
  <c r="U62" i="25" s="1"/>
  <c r="V62" i="25" s="1"/>
  <c r="AA61" i="25"/>
  <c r="AB61" i="25"/>
  <c r="Z61" i="25"/>
  <c r="Y61" i="25"/>
  <c r="AC61" i="25"/>
  <c r="W61" i="25"/>
  <c r="X61" i="25"/>
  <c r="Q63" i="25" l="1"/>
  <c r="R63" i="25"/>
  <c r="S63" i="25" s="1"/>
  <c r="P64" i="25"/>
  <c r="T63" i="25"/>
  <c r="U63" i="25" s="1"/>
  <c r="V63" i="25" s="1"/>
  <c r="AC62" i="25"/>
  <c r="AB62" i="25"/>
  <c r="Z62" i="25"/>
  <c r="X62" i="25"/>
  <c r="AA62" i="25"/>
  <c r="W62" i="25"/>
  <c r="Y62" i="25"/>
  <c r="Q64" i="25" l="1"/>
  <c r="R64" i="25"/>
  <c r="S64" i="25" s="1"/>
  <c r="P65" i="25"/>
  <c r="T64" i="25"/>
  <c r="U64" i="25" s="1"/>
  <c r="V64" i="25" s="1"/>
  <c r="AC63" i="25"/>
  <c r="Z63" i="25"/>
  <c r="AB63" i="25"/>
  <c r="Y63" i="25"/>
  <c r="AA63" i="25"/>
  <c r="W63" i="25"/>
  <c r="X63" i="25"/>
  <c r="Q65" i="25" l="1"/>
  <c r="P66" i="25"/>
  <c r="R65" i="25"/>
  <c r="S65" i="25" s="1"/>
  <c r="T65" i="25"/>
  <c r="U65" i="25" s="1"/>
  <c r="V65" i="25" s="1"/>
  <c r="Z64" i="25"/>
  <c r="AB64" i="25"/>
  <c r="AA64" i="25"/>
  <c r="Y64" i="25"/>
  <c r="X64" i="25"/>
  <c r="AC64" i="25"/>
  <c r="W64" i="25"/>
  <c r="AC65" i="25" l="1"/>
  <c r="AA65" i="25"/>
  <c r="Z65" i="25"/>
  <c r="AB65" i="25"/>
  <c r="Y65" i="25"/>
  <c r="W65" i="25"/>
  <c r="X65" i="25"/>
  <c r="Q66" i="25"/>
  <c r="R66" i="25"/>
  <c r="S66" i="25" s="1"/>
  <c r="P67" i="25"/>
  <c r="T66" i="25"/>
  <c r="U66" i="25" s="1"/>
  <c r="V66" i="25" s="1"/>
  <c r="Q67" i="25" l="1"/>
  <c r="P68" i="25"/>
  <c r="R67" i="25"/>
  <c r="S67" i="25" s="1"/>
  <c r="T67" i="25"/>
  <c r="U67" i="25" s="1"/>
  <c r="V67" i="25" s="1"/>
  <c r="AB66" i="25"/>
  <c r="Z66" i="25"/>
  <c r="AC66" i="25"/>
  <c r="X66" i="25"/>
  <c r="W66" i="25"/>
  <c r="Y66" i="25"/>
  <c r="AA66" i="25"/>
  <c r="Z67" i="25" l="1"/>
  <c r="AA67" i="25"/>
  <c r="X67" i="25"/>
  <c r="AB67" i="25"/>
  <c r="AC67" i="25"/>
  <c r="W67" i="25"/>
  <c r="Y67" i="25"/>
  <c r="Q68" i="25"/>
  <c r="R68" i="25"/>
  <c r="S68" i="25" s="1"/>
  <c r="P69" i="25"/>
  <c r="T68" i="25"/>
  <c r="U68" i="25" s="1"/>
  <c r="V68" i="25" s="1"/>
  <c r="Q69" i="25" l="1"/>
  <c r="P70" i="25"/>
  <c r="R69" i="25"/>
  <c r="S69" i="25" s="1"/>
  <c r="T69" i="25"/>
  <c r="U69" i="25" s="1"/>
  <c r="V69" i="25" s="1"/>
  <c r="Y68" i="25"/>
  <c r="AA68" i="25"/>
  <c r="Z68" i="25"/>
  <c r="W68" i="25"/>
  <c r="AB68" i="25"/>
  <c r="X68" i="25"/>
  <c r="AC68" i="25"/>
  <c r="AB69" i="25" l="1"/>
  <c r="Y69" i="25"/>
  <c r="W69" i="25"/>
  <c r="Z69" i="25"/>
  <c r="AC69" i="25"/>
  <c r="X69" i="25"/>
  <c r="AA69" i="25"/>
  <c r="Q70" i="25"/>
  <c r="R70" i="25"/>
  <c r="S70" i="25" s="1"/>
  <c r="P71" i="25"/>
  <c r="T70" i="25"/>
  <c r="U70" i="25" s="1"/>
  <c r="V70" i="25" s="1"/>
  <c r="Q71" i="25" l="1"/>
  <c r="R71" i="25"/>
  <c r="S71" i="25" s="1"/>
  <c r="P72" i="25"/>
  <c r="T71" i="25"/>
  <c r="U71" i="25" s="1"/>
  <c r="V71" i="25" s="1"/>
  <c r="AC70" i="25"/>
  <c r="Z70" i="25"/>
  <c r="Y70" i="25"/>
  <c r="AA70" i="25"/>
  <c r="X70" i="25"/>
  <c r="W70" i="25"/>
  <c r="AB70" i="25"/>
  <c r="Q72" i="25" l="1"/>
  <c r="R72" i="25"/>
  <c r="S72" i="25" s="1"/>
  <c r="P73" i="25"/>
  <c r="T72" i="25"/>
  <c r="U72" i="25" s="1"/>
  <c r="V72" i="25" s="1"/>
  <c r="AB71" i="25"/>
  <c r="AA71" i="25"/>
  <c r="W71" i="25"/>
  <c r="X71" i="25"/>
  <c r="AC71" i="25"/>
  <c r="Y71" i="25"/>
  <c r="Z71" i="25"/>
  <c r="Q73" i="25" l="1"/>
  <c r="R73" i="25"/>
  <c r="S73" i="25" s="1"/>
  <c r="P74" i="25"/>
  <c r="T73" i="25"/>
  <c r="U73" i="25" s="1"/>
  <c r="V73" i="25" s="1"/>
  <c r="Z72" i="25"/>
  <c r="AC72" i="25"/>
  <c r="AB72" i="25"/>
  <c r="AA72" i="25"/>
  <c r="Y72" i="25"/>
  <c r="X72" i="25"/>
  <c r="W72" i="25"/>
  <c r="Q74" i="25" l="1"/>
  <c r="R74" i="25"/>
  <c r="S74" i="25" s="1"/>
  <c r="P75" i="25"/>
  <c r="T74" i="25"/>
  <c r="U74" i="25" s="1"/>
  <c r="V74" i="25" s="1"/>
  <c r="Z73" i="25"/>
  <c r="AB73" i="25"/>
  <c r="W73" i="25"/>
  <c r="X73" i="25"/>
  <c r="AC73" i="25"/>
  <c r="Y73" i="25"/>
  <c r="AA73" i="25"/>
  <c r="Q75" i="25" l="1"/>
  <c r="R75" i="25"/>
  <c r="S75" i="25" s="1"/>
  <c r="P76" i="25"/>
  <c r="T75" i="25"/>
  <c r="U75" i="25" s="1"/>
  <c r="V75" i="25" s="1"/>
  <c r="AB74" i="25"/>
  <c r="AA74" i="25"/>
  <c r="X74" i="25"/>
  <c r="Y74" i="25"/>
  <c r="Z74" i="25"/>
  <c r="W74" i="25"/>
  <c r="AC74" i="25"/>
  <c r="Q76" i="25" l="1"/>
  <c r="R76" i="25"/>
  <c r="S76" i="25" s="1"/>
  <c r="P77" i="25"/>
  <c r="T76" i="25"/>
  <c r="U76" i="25" s="1"/>
  <c r="V76" i="25" s="1"/>
  <c r="AA75" i="25"/>
  <c r="X75" i="25"/>
  <c r="AB75" i="25"/>
  <c r="AC75" i="25"/>
  <c r="W75" i="25"/>
  <c r="Y75" i="25"/>
  <c r="Z75" i="25"/>
  <c r="Q77" i="25" l="1"/>
  <c r="R77" i="25"/>
  <c r="S77" i="25" s="1"/>
  <c r="P78" i="25"/>
  <c r="T77" i="25"/>
  <c r="U77" i="25" s="1"/>
  <c r="V77" i="25" s="1"/>
  <c r="AB76" i="25"/>
  <c r="AA76" i="25"/>
  <c r="Z76" i="25"/>
  <c r="X76" i="25"/>
  <c r="AC76" i="25"/>
  <c r="Y76" i="25"/>
  <c r="W76" i="25"/>
  <c r="Q78" i="25" l="1"/>
  <c r="R78" i="25"/>
  <c r="S78" i="25" s="1"/>
  <c r="P79" i="25"/>
  <c r="T78" i="25"/>
  <c r="U78" i="25" s="1"/>
  <c r="V78" i="25" s="1"/>
  <c r="AC77" i="25"/>
  <c r="AA77" i="25"/>
  <c r="W77" i="25"/>
  <c r="AB77" i="25"/>
  <c r="Z77" i="25"/>
  <c r="Y77" i="25"/>
  <c r="X77" i="25"/>
  <c r="Q79" i="25" l="1"/>
  <c r="R79" i="25"/>
  <c r="S79" i="25" s="1"/>
  <c r="P80" i="25"/>
  <c r="T79" i="25"/>
  <c r="U79" i="25" s="1"/>
  <c r="V79" i="25" s="1"/>
  <c r="AC78" i="25"/>
  <c r="AB78" i="25"/>
  <c r="X78" i="25"/>
  <c r="W78" i="25"/>
  <c r="AA78" i="25"/>
  <c r="Y78" i="25"/>
  <c r="Z78" i="25"/>
  <c r="Q80" i="25" l="1"/>
  <c r="R80" i="25"/>
  <c r="S80" i="25" s="1"/>
  <c r="P81" i="25"/>
  <c r="T80" i="25"/>
  <c r="U80" i="25" s="1"/>
  <c r="V80" i="25" s="1"/>
  <c r="AB79" i="25"/>
  <c r="AA79" i="25"/>
  <c r="X79" i="25"/>
  <c r="Y79" i="25"/>
  <c r="AC79" i="25"/>
  <c r="Z79" i="25"/>
  <c r="W79" i="25"/>
  <c r="Q81" i="25" l="1"/>
  <c r="R81" i="25"/>
  <c r="S81" i="25" s="1"/>
  <c r="P82" i="25"/>
  <c r="T81" i="25"/>
  <c r="U81" i="25" s="1"/>
  <c r="V81" i="25" s="1"/>
  <c r="Z80" i="25"/>
  <c r="AB80" i="25"/>
  <c r="AA80" i="25"/>
  <c r="X80" i="25"/>
  <c r="AC80" i="25"/>
  <c r="Y80" i="25"/>
  <c r="W80" i="25"/>
  <c r="Q82" i="25" l="1"/>
  <c r="R82" i="25"/>
  <c r="S82" i="25" s="1"/>
  <c r="P83" i="25"/>
  <c r="T82" i="25"/>
  <c r="U82" i="25" s="1"/>
  <c r="V82" i="25" s="1"/>
  <c r="Z81" i="25"/>
  <c r="X81" i="25"/>
  <c r="AC81" i="25"/>
  <c r="AB81" i="25"/>
  <c r="AA81" i="25"/>
  <c r="W81" i="25"/>
  <c r="Y81" i="25"/>
  <c r="Q83" i="25" l="1"/>
  <c r="R83" i="25"/>
  <c r="S83" i="25" s="1"/>
  <c r="P84" i="25"/>
  <c r="T83" i="25"/>
  <c r="U83" i="25" s="1"/>
  <c r="V83" i="25" s="1"/>
  <c r="AB82" i="25"/>
  <c r="AA82" i="25"/>
  <c r="X82" i="25"/>
  <c r="Z82" i="25"/>
  <c r="Y82" i="25"/>
  <c r="W82" i="25"/>
  <c r="AC82" i="25"/>
  <c r="Q84" i="25" l="1"/>
  <c r="R84" i="25"/>
  <c r="S84" i="25" s="1"/>
  <c r="P85" i="25"/>
  <c r="T84" i="25"/>
  <c r="U84" i="25" s="1"/>
  <c r="V84" i="25" s="1"/>
  <c r="X83" i="25"/>
  <c r="Z83" i="25"/>
  <c r="W83" i="25"/>
  <c r="AA83" i="25"/>
  <c r="AC83" i="25"/>
  <c r="AB83" i="25"/>
  <c r="Y83" i="25"/>
  <c r="Q85" i="25" l="1"/>
  <c r="P86" i="25"/>
  <c r="R85" i="25"/>
  <c r="S85" i="25" s="1"/>
  <c r="T85" i="25"/>
  <c r="U85" i="25" s="1"/>
  <c r="V85" i="25" s="1"/>
  <c r="AB84" i="25"/>
  <c r="AA84" i="25"/>
  <c r="Y84" i="25"/>
  <c r="W84" i="25"/>
  <c r="AC84" i="25"/>
  <c r="Z84" i="25"/>
  <c r="X84" i="25"/>
  <c r="AC85" i="25" l="1"/>
  <c r="Z85" i="25"/>
  <c r="AA85" i="25"/>
  <c r="X85" i="25"/>
  <c r="AB85" i="25"/>
  <c r="Y85" i="25"/>
  <c r="W85" i="25"/>
  <c r="Q86" i="25"/>
  <c r="R86" i="25"/>
  <c r="S86" i="25" s="1"/>
  <c r="P87" i="25"/>
  <c r="T86" i="25"/>
  <c r="U86" i="25" s="1"/>
  <c r="V86" i="25" s="1"/>
  <c r="Q87" i="25" l="1"/>
  <c r="R87" i="25"/>
  <c r="S87" i="25" s="1"/>
  <c r="P88" i="25"/>
  <c r="T87" i="25"/>
  <c r="U87" i="25" s="1"/>
  <c r="V87" i="25" s="1"/>
  <c r="AC86" i="25"/>
  <c r="AA86" i="25"/>
  <c r="AB86" i="25"/>
  <c r="X86" i="25"/>
  <c r="W86" i="25"/>
  <c r="Z86" i="25"/>
  <c r="Y86" i="25"/>
  <c r="Q88" i="25" l="1"/>
  <c r="R88" i="25"/>
  <c r="S88" i="25" s="1"/>
  <c r="P89" i="25"/>
  <c r="T88" i="25"/>
  <c r="U88" i="25" s="1"/>
  <c r="V88" i="25" s="1"/>
  <c r="AB87" i="25"/>
  <c r="AA87" i="25"/>
  <c r="Z87" i="25"/>
  <c r="X87" i="25"/>
  <c r="W87" i="25"/>
  <c r="Y87" i="25"/>
  <c r="AC87" i="25"/>
  <c r="Q89" i="25" l="1"/>
  <c r="R89" i="25"/>
  <c r="S89" i="25" s="1"/>
  <c r="P90" i="25"/>
  <c r="T89" i="25"/>
  <c r="U89" i="25" s="1"/>
  <c r="V89" i="25" s="1"/>
  <c r="AC88" i="25"/>
  <c r="AA88" i="25"/>
  <c r="W88" i="25"/>
  <c r="Z88" i="25"/>
  <c r="AB88" i="25"/>
  <c r="X88" i="25"/>
  <c r="Y88" i="25"/>
  <c r="Q90" i="25" l="1"/>
  <c r="R90" i="25"/>
  <c r="S90" i="25" s="1"/>
  <c r="P91" i="25"/>
  <c r="T90" i="25"/>
  <c r="U90" i="25" s="1"/>
  <c r="V90" i="25" s="1"/>
  <c r="AC89" i="25"/>
  <c r="W89" i="25"/>
  <c r="Z89" i="25"/>
  <c r="AA89" i="25"/>
  <c r="AB89" i="25"/>
  <c r="Y89" i="25"/>
  <c r="X89" i="25"/>
  <c r="Q91" i="25" l="1"/>
  <c r="R91" i="25"/>
  <c r="S91" i="25" s="1"/>
  <c r="P92" i="25"/>
  <c r="T91" i="25"/>
  <c r="U91" i="25" s="1"/>
  <c r="V91" i="25" s="1"/>
  <c r="Z90" i="25"/>
  <c r="AC90" i="25"/>
  <c r="Y90" i="25"/>
  <c r="AB90" i="25"/>
  <c r="X90" i="25"/>
  <c r="W90" i="25"/>
  <c r="AA90" i="25"/>
  <c r="Q92" i="25" l="1"/>
  <c r="R92" i="25"/>
  <c r="S92" i="25" s="1"/>
  <c r="P93" i="25"/>
  <c r="T92" i="25"/>
  <c r="U92" i="25" s="1"/>
  <c r="V92" i="25" s="1"/>
  <c r="X91" i="25"/>
  <c r="AB91" i="25"/>
  <c r="Z91" i="25"/>
  <c r="AC91" i="25"/>
  <c r="AA91" i="25"/>
  <c r="W91" i="25"/>
  <c r="Y91" i="25"/>
  <c r="Q93" i="25" l="1"/>
  <c r="R93" i="25"/>
  <c r="S93" i="25" s="1"/>
  <c r="P94" i="25"/>
  <c r="T93" i="25"/>
  <c r="U93" i="25" s="1"/>
  <c r="V93" i="25" s="1"/>
  <c r="Z92" i="25"/>
  <c r="AA92" i="25"/>
  <c r="X92" i="25"/>
  <c r="Y92" i="25"/>
  <c r="AB92" i="25"/>
  <c r="W92" i="25"/>
  <c r="AC92" i="25"/>
  <c r="Q94" i="25" l="1"/>
  <c r="R94" i="25"/>
  <c r="S94" i="25" s="1"/>
  <c r="P95" i="25"/>
  <c r="T94" i="25"/>
  <c r="U94" i="25" s="1"/>
  <c r="V94" i="25" s="1"/>
  <c r="AC93" i="25"/>
  <c r="Y93" i="25"/>
  <c r="AB93" i="25"/>
  <c r="Z93" i="25"/>
  <c r="AA93" i="25"/>
  <c r="W93" i="25"/>
  <c r="X93" i="25"/>
  <c r="Q95" i="25" l="1"/>
  <c r="R95" i="25"/>
  <c r="S95" i="25" s="1"/>
  <c r="P96" i="25"/>
  <c r="T95" i="25"/>
  <c r="U95" i="25" s="1"/>
  <c r="V95" i="25" s="1"/>
  <c r="AB94" i="25"/>
  <c r="AC94" i="25"/>
  <c r="AA94" i="25"/>
  <c r="Z94" i="25"/>
  <c r="Y94" i="25"/>
  <c r="X94" i="25"/>
  <c r="W94" i="25"/>
  <c r="Q96" i="25" l="1"/>
  <c r="R96" i="25"/>
  <c r="S96" i="25" s="1"/>
  <c r="P97" i="25"/>
  <c r="T96" i="25"/>
  <c r="U96" i="25" s="1"/>
  <c r="V96" i="25" s="1"/>
  <c r="AB95" i="25"/>
  <c r="AA95" i="25"/>
  <c r="Y95" i="25"/>
  <c r="AC95" i="25"/>
  <c r="Z95" i="25"/>
  <c r="X95" i="25"/>
  <c r="W95" i="25"/>
  <c r="Q97" i="25" l="1"/>
  <c r="R97" i="25"/>
  <c r="S97" i="25" s="1"/>
  <c r="P98" i="25"/>
  <c r="T97" i="25"/>
  <c r="U97" i="25" s="1"/>
  <c r="V97" i="25" s="1"/>
  <c r="AB96" i="25"/>
  <c r="Z96" i="25"/>
  <c r="AC96" i="25"/>
  <c r="X96" i="25"/>
  <c r="Y96" i="25"/>
  <c r="AA96" i="25"/>
  <c r="W96" i="25"/>
  <c r="Q98" i="25" l="1"/>
  <c r="R98" i="25"/>
  <c r="S98" i="25" s="1"/>
  <c r="P99" i="25"/>
  <c r="T98" i="25"/>
  <c r="U98" i="25" s="1"/>
  <c r="V98" i="25" s="1"/>
  <c r="AA97" i="25"/>
  <c r="AB97" i="25"/>
  <c r="W97" i="25"/>
  <c r="Y97" i="25"/>
  <c r="Z97" i="25"/>
  <c r="X97" i="25"/>
  <c r="AC97" i="25"/>
  <c r="Q99" i="25" l="1"/>
  <c r="R99" i="25"/>
  <c r="S99" i="25" s="1"/>
  <c r="P100" i="25"/>
  <c r="T99" i="25"/>
  <c r="U99" i="25" s="1"/>
  <c r="V99" i="25" s="1"/>
  <c r="AC98" i="25"/>
  <c r="Y98" i="25"/>
  <c r="AA98" i="25"/>
  <c r="AB98" i="25"/>
  <c r="X98" i="25"/>
  <c r="W98" i="25"/>
  <c r="Z98" i="25"/>
  <c r="Q100" i="25" l="1"/>
  <c r="R100" i="25"/>
  <c r="S100" i="25" s="1"/>
  <c r="P101" i="25"/>
  <c r="T100" i="25"/>
  <c r="U100" i="25" s="1"/>
  <c r="V100" i="25" s="1"/>
  <c r="AC99" i="25"/>
  <c r="X99" i="25"/>
  <c r="Z99" i="25"/>
  <c r="W99" i="25"/>
  <c r="Y99" i="25"/>
  <c r="AA99" i="25"/>
  <c r="AB99" i="25"/>
  <c r="Q101" i="25" l="1"/>
  <c r="R101" i="25"/>
  <c r="S101" i="25" s="1"/>
  <c r="P102" i="25"/>
  <c r="T101" i="25"/>
  <c r="U101" i="25" s="1"/>
  <c r="V101" i="25" s="1"/>
  <c r="AA100" i="25"/>
  <c r="AB100" i="25"/>
  <c r="X100" i="25"/>
  <c r="Z100" i="25"/>
  <c r="Y100" i="25"/>
  <c r="W100" i="25"/>
  <c r="AC100" i="25"/>
  <c r="Q102" i="25" l="1"/>
  <c r="P103" i="25"/>
  <c r="R102" i="25"/>
  <c r="S102" i="25" s="1"/>
  <c r="T102" i="25"/>
  <c r="U102" i="25" s="1"/>
  <c r="V102" i="25" s="1"/>
  <c r="AC101" i="25"/>
  <c r="Z101" i="25"/>
  <c r="AA101" i="25"/>
  <c r="X101" i="25"/>
  <c r="AB101" i="25"/>
  <c r="Y101" i="25"/>
  <c r="W101" i="25"/>
  <c r="AC102" i="25" l="1"/>
  <c r="AB102" i="25"/>
  <c r="X102" i="25"/>
  <c r="AA102" i="25"/>
  <c r="Y102" i="25"/>
  <c r="W102" i="25"/>
  <c r="Z102" i="25"/>
  <c r="Q103" i="25"/>
  <c r="R103" i="25"/>
  <c r="S103" i="25" s="1"/>
  <c r="P104" i="25"/>
  <c r="T103" i="25"/>
  <c r="U103" i="25" s="1"/>
  <c r="V103" i="25" s="1"/>
  <c r="Q104" i="25" l="1"/>
  <c r="R104" i="25"/>
  <c r="S104" i="25" s="1"/>
  <c r="P105" i="25"/>
  <c r="T104" i="25"/>
  <c r="U104" i="25" s="1"/>
  <c r="V104" i="25" s="1"/>
  <c r="AB103" i="25"/>
  <c r="AC103" i="25"/>
  <c r="AA103" i="25"/>
  <c r="Z103" i="25"/>
  <c r="W103" i="25"/>
  <c r="X103" i="25"/>
  <c r="Y103" i="25"/>
  <c r="AC104" i="25" l="1"/>
  <c r="AA104" i="25"/>
  <c r="X104" i="25"/>
  <c r="AB104" i="25"/>
  <c r="Z104" i="25"/>
  <c r="Y104" i="25"/>
  <c r="W104" i="25"/>
  <c r="Q105" i="25"/>
  <c r="R105" i="25"/>
  <c r="S105" i="25" s="1"/>
  <c r="P106" i="25"/>
  <c r="T105" i="25"/>
  <c r="U105" i="25" s="1"/>
  <c r="V105" i="25" s="1"/>
  <c r="Q106" i="25" l="1"/>
  <c r="R106" i="25"/>
  <c r="S106" i="25" s="1"/>
  <c r="P107" i="25"/>
  <c r="T106" i="25"/>
  <c r="U106" i="25" s="1"/>
  <c r="V106" i="25" s="1"/>
  <c r="AA105" i="25"/>
  <c r="Z105" i="25"/>
  <c r="AC105" i="25"/>
  <c r="AB105" i="25"/>
  <c r="W105" i="25"/>
  <c r="Y105" i="25"/>
  <c r="X105" i="25"/>
  <c r="Q107" i="25" l="1"/>
  <c r="R107" i="25"/>
  <c r="S107" i="25" s="1"/>
  <c r="P108" i="25"/>
  <c r="T107" i="25"/>
  <c r="U107" i="25" s="1"/>
  <c r="V107" i="25" s="1"/>
  <c r="Z106" i="25"/>
  <c r="AA106" i="25"/>
  <c r="AC106" i="25"/>
  <c r="Y106" i="25"/>
  <c r="X106" i="25"/>
  <c r="W106" i="25"/>
  <c r="AB106" i="25"/>
  <c r="Q108" i="25" l="1"/>
  <c r="R108" i="25"/>
  <c r="S108" i="25" s="1"/>
  <c r="P109" i="25"/>
  <c r="T108" i="25"/>
  <c r="U108" i="25" s="1"/>
  <c r="V108" i="25" s="1"/>
  <c r="AC107" i="25"/>
  <c r="AB107" i="25"/>
  <c r="Y107" i="25"/>
  <c r="W107" i="25"/>
  <c r="AA107" i="25"/>
  <c r="Z107" i="25"/>
  <c r="X107" i="25"/>
  <c r="Q109" i="25" l="1"/>
  <c r="R109" i="25"/>
  <c r="S109" i="25" s="1"/>
  <c r="P110" i="25"/>
  <c r="T109" i="25"/>
  <c r="U109" i="25" s="1"/>
  <c r="V109" i="25" s="1"/>
  <c r="AB108" i="25"/>
  <c r="AA108" i="25"/>
  <c r="Z108" i="25"/>
  <c r="Y108" i="25"/>
  <c r="W108" i="25"/>
  <c r="AC108" i="25"/>
  <c r="X108" i="25"/>
  <c r="Q110" i="25" l="1"/>
  <c r="R110" i="25"/>
  <c r="S110" i="25" s="1"/>
  <c r="P111" i="25"/>
  <c r="T110" i="25"/>
  <c r="U110" i="25" s="1"/>
  <c r="V110" i="25" s="1"/>
  <c r="AC109" i="25"/>
  <c r="Z109" i="25"/>
  <c r="AA109" i="25"/>
  <c r="X109" i="25"/>
  <c r="W109" i="25"/>
  <c r="AB109" i="25"/>
  <c r="Y109" i="25"/>
  <c r="Q111" i="25" l="1"/>
  <c r="R111" i="25"/>
  <c r="S111" i="25" s="1"/>
  <c r="P112" i="25"/>
  <c r="T111" i="25"/>
  <c r="U111" i="25" s="1"/>
  <c r="V111" i="25" s="1"/>
  <c r="AC110" i="25"/>
  <c r="AA110" i="25"/>
  <c r="AB110" i="25"/>
  <c r="Z110" i="25"/>
  <c r="Y110" i="25"/>
  <c r="W110" i="25"/>
  <c r="X110" i="25"/>
  <c r="Q112" i="25" l="1"/>
  <c r="R112" i="25"/>
  <c r="S112" i="25" s="1"/>
  <c r="P113" i="25"/>
  <c r="T112" i="25"/>
  <c r="U112" i="25" s="1"/>
  <c r="V112" i="25" s="1"/>
  <c r="AB111" i="25"/>
  <c r="AA111" i="25"/>
  <c r="Z111" i="25"/>
  <c r="Y111" i="25"/>
  <c r="X111" i="25"/>
  <c r="AC111" i="25"/>
  <c r="W111" i="25"/>
  <c r="Q113" i="25" l="1"/>
  <c r="R113" i="25"/>
  <c r="S113" i="25" s="1"/>
  <c r="P114" i="25"/>
  <c r="T113" i="25"/>
  <c r="U113" i="25" s="1"/>
  <c r="V113" i="25" s="1"/>
  <c r="AC112" i="25"/>
  <c r="AA112" i="25"/>
  <c r="Z112" i="25"/>
  <c r="Y112" i="25"/>
  <c r="X112" i="25"/>
  <c r="AB112" i="25"/>
  <c r="W112" i="25"/>
  <c r="Q114" i="25" l="1"/>
  <c r="R114" i="25"/>
  <c r="S114" i="25" s="1"/>
  <c r="P115" i="25"/>
  <c r="T114" i="25"/>
  <c r="U114" i="25" s="1"/>
  <c r="V114" i="25" s="1"/>
  <c r="AA113" i="25"/>
  <c r="AB113" i="25"/>
  <c r="X113" i="25"/>
  <c r="W113" i="25"/>
  <c r="Y113" i="25"/>
  <c r="AC113" i="25"/>
  <c r="Z113" i="25"/>
  <c r="Q115" i="25" l="1"/>
  <c r="R115" i="25"/>
  <c r="S115" i="25" s="1"/>
  <c r="P116" i="25"/>
  <c r="T115" i="25"/>
  <c r="U115" i="25" s="1"/>
  <c r="V115" i="25" s="1"/>
  <c r="Z114" i="25"/>
  <c r="AA114" i="25"/>
  <c r="AC114" i="25"/>
  <c r="AB114" i="25"/>
  <c r="Y114" i="25"/>
  <c r="X114" i="25"/>
  <c r="W114" i="25"/>
  <c r="Q116" i="25" l="1"/>
  <c r="R116" i="25"/>
  <c r="S116" i="25" s="1"/>
  <c r="P117" i="25"/>
  <c r="T116" i="25"/>
  <c r="U116" i="25" s="1"/>
  <c r="V116" i="25" s="1"/>
  <c r="AC115" i="25"/>
  <c r="AB115" i="25"/>
  <c r="Z115" i="25"/>
  <c r="W115" i="25"/>
  <c r="AA115" i="25"/>
  <c r="Y115" i="25"/>
  <c r="X115" i="25"/>
  <c r="Q117" i="25" l="1"/>
  <c r="R117" i="25"/>
  <c r="S117" i="25" s="1"/>
  <c r="P118" i="25"/>
  <c r="T117" i="25"/>
  <c r="U117" i="25" s="1"/>
  <c r="V117" i="25" s="1"/>
  <c r="Y116" i="25"/>
  <c r="AB116" i="25"/>
  <c r="AC116" i="25"/>
  <c r="AA116" i="25"/>
  <c r="Z116" i="25"/>
  <c r="X116" i="25"/>
  <c r="W116" i="25"/>
  <c r="Q118" i="25" l="1"/>
  <c r="R118" i="25"/>
  <c r="S118" i="25" s="1"/>
  <c r="P119" i="25"/>
  <c r="T118" i="25"/>
  <c r="U118" i="25" s="1"/>
  <c r="V118" i="25" s="1"/>
  <c r="AC117" i="25"/>
  <c r="AB117" i="25"/>
  <c r="Z117" i="25"/>
  <c r="AA117" i="25"/>
  <c r="Y117" i="25"/>
  <c r="X117" i="25"/>
  <c r="W117" i="25"/>
  <c r="Q119" i="25" l="1"/>
  <c r="R119" i="25"/>
  <c r="S119" i="25" s="1"/>
  <c r="P120" i="25"/>
  <c r="T119" i="25"/>
  <c r="U119" i="25" s="1"/>
  <c r="V119" i="25" s="1"/>
  <c r="AC118" i="25"/>
  <c r="Z118" i="25"/>
  <c r="W118" i="25"/>
  <c r="AA118" i="25"/>
  <c r="AB118" i="25"/>
  <c r="Y118" i="25"/>
  <c r="X118" i="25"/>
  <c r="Q120" i="25" l="1"/>
  <c r="P121" i="25"/>
  <c r="R120" i="25"/>
  <c r="S120" i="25" s="1"/>
  <c r="T120" i="25"/>
  <c r="U120" i="25" s="1"/>
  <c r="V120" i="25" s="1"/>
  <c r="AB119" i="25"/>
  <c r="AA119" i="25"/>
  <c r="Z119" i="25"/>
  <c r="W119" i="25"/>
  <c r="AC119" i="25"/>
  <c r="Y119" i="25"/>
  <c r="X119" i="25"/>
  <c r="AC120" i="25" l="1"/>
  <c r="AA120" i="25"/>
  <c r="Z120" i="25"/>
  <c r="AB120" i="25"/>
  <c r="W120" i="25"/>
  <c r="X120" i="25"/>
  <c r="Y120" i="25"/>
  <c r="Q121" i="25"/>
  <c r="R121" i="25"/>
  <c r="S121" i="25" s="1"/>
  <c r="P122" i="25"/>
  <c r="T121" i="25"/>
  <c r="U121" i="25" s="1"/>
  <c r="V121" i="25" s="1"/>
  <c r="Q122" i="25" l="1"/>
  <c r="R122" i="25"/>
  <c r="S122" i="25" s="1"/>
  <c r="P123" i="25"/>
  <c r="T122" i="25"/>
  <c r="U122" i="25" s="1"/>
  <c r="V122" i="25" s="1"/>
  <c r="W121" i="25"/>
  <c r="AB121" i="25"/>
  <c r="AA121" i="25"/>
  <c r="AC121" i="25"/>
  <c r="X121" i="25"/>
  <c r="Y121" i="25"/>
  <c r="Z121" i="25"/>
  <c r="Q123" i="25" l="1"/>
  <c r="R123" i="25"/>
  <c r="S123" i="25" s="1"/>
  <c r="P124" i="25"/>
  <c r="T123" i="25"/>
  <c r="U123" i="25" s="1"/>
  <c r="V123" i="25" s="1"/>
  <c r="Z122" i="25"/>
  <c r="AA122" i="25"/>
  <c r="AC122" i="25"/>
  <c r="AB122" i="25"/>
  <c r="W122" i="25"/>
  <c r="Y122" i="25"/>
  <c r="X122" i="25"/>
  <c r="Q124" i="25" l="1"/>
  <c r="R124" i="25"/>
  <c r="S124" i="25" s="1"/>
  <c r="P125" i="25"/>
  <c r="T124" i="25"/>
  <c r="U124" i="25" s="1"/>
  <c r="V124" i="25" s="1"/>
  <c r="AA123" i="25"/>
  <c r="AC123" i="25"/>
  <c r="X123" i="25"/>
  <c r="Z123" i="25"/>
  <c r="AB123" i="25"/>
  <c r="W123" i="25"/>
  <c r="Y123" i="25"/>
  <c r="Q125" i="25" l="1"/>
  <c r="P126" i="25"/>
  <c r="R125" i="25"/>
  <c r="S125" i="25" s="1"/>
  <c r="T125" i="25"/>
  <c r="U125" i="25" s="1"/>
  <c r="V125" i="25" s="1"/>
  <c r="Y124" i="25"/>
  <c r="AC124" i="25"/>
  <c r="AA124" i="25"/>
  <c r="X124" i="25"/>
  <c r="AB124" i="25"/>
  <c r="Z124" i="25"/>
  <c r="W124" i="25"/>
  <c r="AA125" i="25" l="1"/>
  <c r="AB125" i="25"/>
  <c r="X125" i="25"/>
  <c r="AC125" i="25"/>
  <c r="Y125" i="25"/>
  <c r="W125" i="25"/>
  <c r="Z125" i="25"/>
  <c r="Q126" i="25"/>
  <c r="R126" i="25"/>
  <c r="S126" i="25" s="1"/>
  <c r="P127" i="25"/>
  <c r="T126" i="25"/>
  <c r="U126" i="25" s="1"/>
  <c r="V126" i="25" s="1"/>
  <c r="Q127" i="25" l="1"/>
  <c r="R127" i="25"/>
  <c r="S127" i="25" s="1"/>
  <c r="P128" i="25"/>
  <c r="T127" i="25"/>
  <c r="U127" i="25" s="1"/>
  <c r="V127" i="25" s="1"/>
  <c r="AC126" i="25"/>
  <c r="AA126" i="25"/>
  <c r="AB126" i="25"/>
  <c r="W126" i="25"/>
  <c r="Y126" i="25"/>
  <c r="Z126" i="25"/>
  <c r="X126" i="25"/>
  <c r="Q128" i="25" l="1"/>
  <c r="R128" i="25"/>
  <c r="S128" i="25" s="1"/>
  <c r="P129" i="25"/>
  <c r="T128" i="25"/>
  <c r="U128" i="25" s="1"/>
  <c r="V128" i="25" s="1"/>
  <c r="AC127" i="25"/>
  <c r="Z127" i="25"/>
  <c r="Y127" i="25"/>
  <c r="W127" i="25"/>
  <c r="AA127" i="25"/>
  <c r="X127" i="25"/>
  <c r="AB127" i="25"/>
  <c r="Q129" i="25" l="1"/>
  <c r="R129" i="25"/>
  <c r="S129" i="25" s="1"/>
  <c r="P130" i="25"/>
  <c r="T129" i="25"/>
  <c r="U129" i="25" s="1"/>
  <c r="V129" i="25" s="1"/>
  <c r="Z128" i="25"/>
  <c r="W128" i="25"/>
  <c r="X128" i="25"/>
  <c r="AC128" i="25"/>
  <c r="AA128" i="25"/>
  <c r="Y128" i="25"/>
  <c r="AB128" i="25"/>
  <c r="Q130" i="25" l="1"/>
  <c r="R130" i="25"/>
  <c r="S130" i="25" s="1"/>
  <c r="P131" i="25"/>
  <c r="T130" i="25"/>
  <c r="U130" i="25" s="1"/>
  <c r="V130" i="25" s="1"/>
  <c r="AC129" i="25"/>
  <c r="AA129" i="25"/>
  <c r="Y129" i="25"/>
  <c r="Z129" i="25"/>
  <c r="AB129" i="25"/>
  <c r="W129" i="25"/>
  <c r="X129" i="25"/>
  <c r="Q131" i="25" l="1"/>
  <c r="P132" i="25"/>
  <c r="R131" i="25"/>
  <c r="S131" i="25" s="1"/>
  <c r="T131" i="25"/>
  <c r="U131" i="25" s="1"/>
  <c r="V131" i="25" s="1"/>
  <c r="AB130" i="25"/>
  <c r="AC130" i="25"/>
  <c r="AA130" i="25"/>
  <c r="W130" i="25"/>
  <c r="Y130" i="25"/>
  <c r="Z130" i="25"/>
  <c r="X130" i="25"/>
  <c r="Z131" i="25" l="1"/>
  <c r="AC131" i="25"/>
  <c r="AA131" i="25"/>
  <c r="AB131" i="25"/>
  <c r="X131" i="25"/>
  <c r="W131" i="25"/>
  <c r="Y131" i="25"/>
  <c r="Q132" i="25"/>
  <c r="R132" i="25"/>
  <c r="S132" i="25" s="1"/>
  <c r="P133" i="25"/>
  <c r="T132" i="25"/>
  <c r="U132" i="25" s="1"/>
  <c r="V132" i="25" s="1"/>
  <c r="Q133" i="25" l="1"/>
  <c r="R133" i="25"/>
  <c r="S133" i="25" s="1"/>
  <c r="P134" i="25"/>
  <c r="T133" i="25"/>
  <c r="U133" i="25" s="1"/>
  <c r="V133" i="25" s="1"/>
  <c r="Y132" i="25"/>
  <c r="AB132" i="25"/>
  <c r="Z132" i="25"/>
  <c r="AC132" i="25"/>
  <c r="X132" i="25"/>
  <c r="AA132" i="25"/>
  <c r="W132" i="25"/>
  <c r="Q134" i="25" l="1"/>
  <c r="R134" i="25"/>
  <c r="S134" i="25" s="1"/>
  <c r="P135" i="25"/>
  <c r="T134" i="25"/>
  <c r="U134" i="25" s="1"/>
  <c r="V134" i="25" s="1"/>
  <c r="AB133" i="25"/>
  <c r="AA133" i="25"/>
  <c r="AC133" i="25"/>
  <c r="W133" i="25"/>
  <c r="Z133" i="25"/>
  <c r="X133" i="25"/>
  <c r="Y133" i="25"/>
  <c r="Q135" i="25" l="1"/>
  <c r="R135" i="25"/>
  <c r="S135" i="25" s="1"/>
  <c r="P136" i="25"/>
  <c r="T135" i="25"/>
  <c r="U135" i="25" s="1"/>
  <c r="V135" i="25" s="1"/>
  <c r="AC134" i="25"/>
  <c r="AB134" i="25"/>
  <c r="Z134" i="25"/>
  <c r="AA134" i="25"/>
  <c r="W134" i="25"/>
  <c r="Y134" i="25"/>
  <c r="X134" i="25"/>
  <c r="Q136" i="25" l="1"/>
  <c r="R136" i="25"/>
  <c r="S136" i="25" s="1"/>
  <c r="P137" i="25"/>
  <c r="T136" i="25"/>
  <c r="U136" i="25" s="1"/>
  <c r="V136" i="25" s="1"/>
  <c r="AB135" i="25"/>
  <c r="AC135" i="25"/>
  <c r="AA135" i="25"/>
  <c r="W135" i="25"/>
  <c r="Y135" i="25"/>
  <c r="X135" i="25"/>
  <c r="Z135" i="25"/>
  <c r="Q137" i="25" l="1"/>
  <c r="R137" i="25"/>
  <c r="S137" i="25" s="1"/>
  <c r="P138" i="25"/>
  <c r="T137" i="25"/>
  <c r="U137" i="25" s="1"/>
  <c r="V137" i="25" s="1"/>
  <c r="Z136" i="25"/>
  <c r="AB136" i="25"/>
  <c r="AA136" i="25"/>
  <c r="Y136" i="25"/>
  <c r="AC136" i="25"/>
  <c r="W136" i="25"/>
  <c r="X136" i="25"/>
  <c r="Q138" i="25" l="1"/>
  <c r="R138" i="25"/>
  <c r="S138" i="25" s="1"/>
  <c r="P139" i="25"/>
  <c r="T138" i="25"/>
  <c r="U138" i="25" s="1"/>
  <c r="V138" i="25" s="1"/>
  <c r="AC137" i="25"/>
  <c r="AB137" i="25"/>
  <c r="AA137" i="25"/>
  <c r="Z137" i="25"/>
  <c r="Y137" i="25"/>
  <c r="X137" i="25"/>
  <c r="W137" i="25"/>
  <c r="Q139" i="25" l="1"/>
  <c r="R139" i="25"/>
  <c r="S139" i="25" s="1"/>
  <c r="P140" i="25"/>
  <c r="T139" i="25"/>
  <c r="U139" i="25" s="1"/>
  <c r="V139" i="25" s="1"/>
  <c r="AB138" i="25"/>
  <c r="AA138" i="25"/>
  <c r="AC138" i="25"/>
  <c r="X138" i="25"/>
  <c r="Y138" i="25"/>
  <c r="Z138" i="25"/>
  <c r="W138" i="25"/>
  <c r="Q140" i="25" l="1"/>
  <c r="R140" i="25"/>
  <c r="S140" i="25" s="1"/>
  <c r="P141" i="25"/>
  <c r="T140" i="25"/>
  <c r="U140" i="25" s="1"/>
  <c r="V140" i="25" s="1"/>
  <c r="AA139" i="25"/>
  <c r="Z139" i="25"/>
  <c r="AC139" i="25"/>
  <c r="W139" i="25"/>
  <c r="AB139" i="25"/>
  <c r="X139" i="25"/>
  <c r="Y139" i="25"/>
  <c r="Q141" i="25" l="1"/>
  <c r="R141" i="25"/>
  <c r="S141" i="25" s="1"/>
  <c r="P142" i="25"/>
  <c r="T141" i="25"/>
  <c r="U141" i="25" s="1"/>
  <c r="V141" i="25" s="1"/>
  <c r="AB140" i="25"/>
  <c r="AA140" i="25"/>
  <c r="Z140" i="25"/>
  <c r="W140" i="25"/>
  <c r="AC140" i="25"/>
  <c r="X140" i="25"/>
  <c r="Y140" i="25"/>
  <c r="Q142" i="25" l="1"/>
  <c r="R142" i="25"/>
  <c r="S142" i="25" s="1"/>
  <c r="P143" i="25"/>
  <c r="T142" i="25"/>
  <c r="U142" i="25" s="1"/>
  <c r="V142" i="25" s="1"/>
  <c r="AC141" i="25"/>
  <c r="Z141" i="25"/>
  <c r="AA141" i="25"/>
  <c r="AB141" i="25"/>
  <c r="X141" i="25"/>
  <c r="W141" i="25"/>
  <c r="Y141" i="25"/>
  <c r="Q143" i="25" l="1"/>
  <c r="R143" i="25"/>
  <c r="S143" i="25" s="1"/>
  <c r="P144" i="25"/>
  <c r="T143" i="25"/>
  <c r="U143" i="25" s="1"/>
  <c r="V143" i="25" s="1"/>
  <c r="Z142" i="25"/>
  <c r="AA142" i="25"/>
  <c r="AB142" i="25"/>
  <c r="Y142" i="25"/>
  <c r="X142" i="25"/>
  <c r="AC142" i="25"/>
  <c r="W142" i="25"/>
  <c r="Q144" i="25" l="1"/>
  <c r="R144" i="25"/>
  <c r="S144" i="25" s="1"/>
  <c r="P145" i="25"/>
  <c r="T144" i="25"/>
  <c r="U144" i="25" s="1"/>
  <c r="V144" i="25" s="1"/>
  <c r="AB143" i="25"/>
  <c r="AC143" i="25"/>
  <c r="AA143" i="25"/>
  <c r="Z143" i="25"/>
  <c r="X143" i="25"/>
  <c r="W143" i="25"/>
  <c r="Y143" i="25"/>
  <c r="Q145" i="25" l="1"/>
  <c r="P146" i="25"/>
  <c r="R145" i="25"/>
  <c r="S145" i="25" s="1"/>
  <c r="T145" i="25"/>
  <c r="U145" i="25" s="1"/>
  <c r="V145" i="25" s="1"/>
  <c r="Z144" i="25"/>
  <c r="AC144" i="25"/>
  <c r="AB144" i="25"/>
  <c r="AA144" i="25"/>
  <c r="Y144" i="25"/>
  <c r="W144" i="25"/>
  <c r="X144" i="25"/>
  <c r="AC145" i="25" l="1"/>
  <c r="AA145" i="25"/>
  <c r="Z145" i="25"/>
  <c r="X145" i="25"/>
  <c r="AB145" i="25"/>
  <c r="W145" i="25"/>
  <c r="Y145" i="25"/>
  <c r="Q146" i="25"/>
  <c r="R146" i="25"/>
  <c r="S146" i="25" s="1"/>
  <c r="P147" i="25"/>
  <c r="T146" i="25"/>
  <c r="U146" i="25" s="1"/>
  <c r="V146" i="25" s="1"/>
  <c r="Q147" i="25" l="1"/>
  <c r="R147" i="25"/>
  <c r="S147" i="25" s="1"/>
  <c r="P148" i="25"/>
  <c r="T147" i="25"/>
  <c r="U147" i="25" s="1"/>
  <c r="V147" i="25" s="1"/>
  <c r="AB146" i="25"/>
  <c r="AC146" i="25"/>
  <c r="AA146" i="25"/>
  <c r="W146" i="25"/>
  <c r="Z146" i="25"/>
  <c r="Y146" i="25"/>
  <c r="X146" i="25"/>
  <c r="Q148" i="25" l="1"/>
  <c r="R148" i="25"/>
  <c r="S148" i="25" s="1"/>
  <c r="P149" i="25"/>
  <c r="T148" i="25"/>
  <c r="U148" i="25" s="1"/>
  <c r="V148" i="25" s="1"/>
  <c r="X147" i="25"/>
  <c r="AA147" i="25"/>
  <c r="AB147" i="25"/>
  <c r="Z147" i="25"/>
  <c r="AC147" i="25"/>
  <c r="Y147" i="25"/>
  <c r="W147" i="25"/>
  <c r="Q149" i="25" l="1"/>
  <c r="R149" i="25"/>
  <c r="S149" i="25" s="1"/>
  <c r="P150" i="25"/>
  <c r="T149" i="25"/>
  <c r="U149" i="25" s="1"/>
  <c r="V149" i="25" s="1"/>
  <c r="AB148" i="25"/>
  <c r="AA148" i="25"/>
  <c r="Z148" i="25"/>
  <c r="Y148" i="25"/>
  <c r="W148" i="25"/>
  <c r="AC148" i="25"/>
  <c r="X148" i="25"/>
  <c r="Q150" i="25" l="1"/>
  <c r="R150" i="25"/>
  <c r="S150" i="25" s="1"/>
  <c r="P151" i="25"/>
  <c r="T150" i="25"/>
  <c r="U150" i="25" s="1"/>
  <c r="V150" i="25" s="1"/>
  <c r="AC149" i="25"/>
  <c r="Z149" i="25"/>
  <c r="X149" i="25"/>
  <c r="AB149" i="25"/>
  <c r="AA149" i="25"/>
  <c r="W149" i="25"/>
  <c r="Y149" i="25"/>
  <c r="Q151" i="25" l="1"/>
  <c r="R151" i="25"/>
  <c r="S151" i="25" s="1"/>
  <c r="P152" i="25"/>
  <c r="T151" i="25"/>
  <c r="U151" i="25" s="1"/>
  <c r="V151" i="25" s="1"/>
  <c r="AC150" i="25"/>
  <c r="AB150" i="25"/>
  <c r="X150" i="25"/>
  <c r="Z150" i="25"/>
  <c r="AA150" i="25"/>
  <c r="Y150" i="25"/>
  <c r="W150" i="25"/>
  <c r="Q152" i="25" l="1"/>
  <c r="R152" i="25"/>
  <c r="S152" i="25" s="1"/>
  <c r="P153" i="25"/>
  <c r="T152" i="25"/>
  <c r="U152" i="25" s="1"/>
  <c r="V152" i="25" s="1"/>
  <c r="AB151" i="25"/>
  <c r="AA151" i="25"/>
  <c r="Z151" i="25"/>
  <c r="Y151" i="25"/>
  <c r="AC151" i="25"/>
  <c r="X151" i="25"/>
  <c r="W151" i="25"/>
  <c r="Q153" i="25" l="1"/>
  <c r="P154" i="25"/>
  <c r="R153" i="25"/>
  <c r="S153" i="25" s="1"/>
  <c r="T153" i="25"/>
  <c r="U153" i="25" s="1"/>
  <c r="V153" i="25" s="1"/>
  <c r="AC152" i="25"/>
  <c r="AA152" i="25"/>
  <c r="Z152" i="25"/>
  <c r="AB152" i="25"/>
  <c r="Y152" i="25"/>
  <c r="X152" i="25"/>
  <c r="W152" i="25"/>
  <c r="AC153" i="25" l="1"/>
  <c r="W153" i="25"/>
  <c r="AA153" i="25"/>
  <c r="AB153" i="25"/>
  <c r="Y153" i="25"/>
  <c r="Z153" i="25"/>
  <c r="X153" i="25"/>
  <c r="Q154" i="25"/>
  <c r="R154" i="25"/>
  <c r="S154" i="25" s="1"/>
  <c r="P155" i="25"/>
  <c r="T154" i="25"/>
  <c r="U154" i="25" s="1"/>
  <c r="V154" i="25" s="1"/>
  <c r="Q155" i="25" l="1"/>
  <c r="R155" i="25"/>
  <c r="S155" i="25" s="1"/>
  <c r="P156" i="25"/>
  <c r="T155" i="25"/>
  <c r="U155" i="25" s="1"/>
  <c r="V155" i="25" s="1"/>
  <c r="Z154" i="25"/>
  <c r="AC154" i="25"/>
  <c r="Y154" i="25"/>
  <c r="AB154" i="25"/>
  <c r="X154" i="25"/>
  <c r="W154" i="25"/>
  <c r="AA154" i="25"/>
  <c r="Q156" i="25" l="1"/>
  <c r="P157" i="25"/>
  <c r="R156" i="25"/>
  <c r="S156" i="25" s="1"/>
  <c r="T156" i="25"/>
  <c r="U156" i="25" s="1"/>
  <c r="V156" i="25" s="1"/>
  <c r="X155" i="25"/>
  <c r="AA155" i="25"/>
  <c r="AB155" i="25"/>
  <c r="Z155" i="25"/>
  <c r="AC155" i="25"/>
  <c r="Y155" i="25"/>
  <c r="W155" i="25"/>
  <c r="Z156" i="25" l="1"/>
  <c r="AA156" i="25"/>
  <c r="X156" i="25"/>
  <c r="W156" i="25"/>
  <c r="AB156" i="25"/>
  <c r="AC156" i="25"/>
  <c r="Y156" i="25"/>
  <c r="Q157" i="25"/>
  <c r="R157" i="25"/>
  <c r="S157" i="25" s="1"/>
  <c r="P158" i="25"/>
  <c r="T157" i="25"/>
  <c r="U157" i="25" s="1"/>
  <c r="V157" i="25" s="1"/>
  <c r="Q158" i="25" l="1"/>
  <c r="R158" i="25"/>
  <c r="S158" i="25" s="1"/>
  <c r="P159" i="25"/>
  <c r="T158" i="25"/>
  <c r="U158" i="25" s="1"/>
  <c r="V158" i="25" s="1"/>
  <c r="AC157" i="25"/>
  <c r="Z157" i="25"/>
  <c r="X157" i="25"/>
  <c r="AB157" i="25"/>
  <c r="AA157" i="25"/>
  <c r="W157" i="25"/>
  <c r="Y157" i="25"/>
  <c r="Q159" i="25" l="1"/>
  <c r="R159" i="25"/>
  <c r="S159" i="25" s="1"/>
  <c r="P160" i="25"/>
  <c r="T159" i="25"/>
  <c r="U159" i="25" s="1"/>
  <c r="V159" i="25" s="1"/>
  <c r="AB158" i="25"/>
  <c r="AA158" i="25"/>
  <c r="Z158" i="25"/>
  <c r="W158" i="25"/>
  <c r="AC158" i="25"/>
  <c r="X158" i="25"/>
  <c r="Y158" i="25"/>
  <c r="Q160" i="25" l="1"/>
  <c r="R160" i="25"/>
  <c r="S160" i="25" s="1"/>
  <c r="P161" i="25"/>
  <c r="T160" i="25"/>
  <c r="U160" i="25" s="1"/>
  <c r="V160" i="25" s="1"/>
  <c r="AB159" i="25"/>
  <c r="X159" i="25"/>
  <c r="AC159" i="25"/>
  <c r="AA159" i="25"/>
  <c r="Y159" i="25"/>
  <c r="W159" i="25"/>
  <c r="Z159" i="25"/>
  <c r="Q161" i="25" l="1"/>
  <c r="P162" i="25"/>
  <c r="R161" i="25"/>
  <c r="S161" i="25" s="1"/>
  <c r="T161" i="25"/>
  <c r="U161" i="25" s="1"/>
  <c r="V161" i="25" s="1"/>
  <c r="AB160" i="25"/>
  <c r="AC160" i="25"/>
  <c r="X160" i="25"/>
  <c r="W160" i="25"/>
  <c r="AA160" i="25"/>
  <c r="Z160" i="25"/>
  <c r="Y160" i="25"/>
  <c r="AA161" i="25" l="1"/>
  <c r="AB161" i="25"/>
  <c r="Y161" i="25"/>
  <c r="X161" i="25"/>
  <c r="AC161" i="25"/>
  <c r="Z161" i="25"/>
  <c r="W161" i="25"/>
  <c r="Q162" i="25"/>
  <c r="R162" i="25"/>
  <c r="S162" i="25" s="1"/>
  <c r="P163" i="25"/>
  <c r="T162" i="25"/>
  <c r="U162" i="25" s="1"/>
  <c r="V162" i="25" s="1"/>
  <c r="Q163" i="25" l="1"/>
  <c r="P164" i="25"/>
  <c r="R163" i="25"/>
  <c r="S163" i="25" s="1"/>
  <c r="T163" i="25"/>
  <c r="U163" i="25" s="1"/>
  <c r="V163" i="25" s="1"/>
  <c r="AC162" i="25"/>
  <c r="AB162" i="25"/>
  <c r="Z162" i="25"/>
  <c r="X162" i="25"/>
  <c r="Y162" i="25"/>
  <c r="W162" i="25"/>
  <c r="AA162" i="25"/>
  <c r="AC163" i="25" l="1"/>
  <c r="X163" i="25"/>
  <c r="AA163" i="25"/>
  <c r="AB163" i="25"/>
  <c r="W163" i="25"/>
  <c r="Y163" i="25"/>
  <c r="Z163" i="25"/>
  <c r="Q164" i="25"/>
  <c r="R164" i="25"/>
  <c r="S164" i="25" s="1"/>
  <c r="P165" i="25"/>
  <c r="T164" i="25"/>
  <c r="U164" i="25" s="1"/>
  <c r="V164" i="25" s="1"/>
  <c r="Q165" i="25" l="1"/>
  <c r="R165" i="25"/>
  <c r="S165" i="25" s="1"/>
  <c r="P166" i="25"/>
  <c r="T165" i="25"/>
  <c r="U165" i="25" s="1"/>
  <c r="V165" i="25" s="1"/>
  <c r="AA164" i="25"/>
  <c r="AB164" i="25"/>
  <c r="AC164" i="25"/>
  <c r="Z164" i="25"/>
  <c r="X164" i="25"/>
  <c r="Y164" i="25"/>
  <c r="W164" i="25"/>
  <c r="R166" i="25" l="1"/>
  <c r="S166" i="25" s="1"/>
  <c r="Q166" i="25"/>
  <c r="T166" i="25"/>
  <c r="U166" i="25" s="1"/>
  <c r="V166" i="25" s="1"/>
  <c r="AC165" i="25"/>
  <c r="Z165" i="25"/>
  <c r="X165" i="25"/>
  <c r="AB165" i="25"/>
  <c r="AA165" i="25"/>
  <c r="W165" i="25"/>
  <c r="Y165" i="25"/>
  <c r="AC166" i="25" l="1"/>
  <c r="AA166" i="25"/>
  <c r="AB166" i="25"/>
  <c r="Y166" i="25"/>
  <c r="X166" i="25"/>
  <c r="W166" i="25"/>
  <c r="Z166" i="25"/>
</calcChain>
</file>

<file path=xl/sharedStrings.xml><?xml version="1.0" encoding="utf-8"?>
<sst xmlns="http://schemas.openxmlformats.org/spreadsheetml/2006/main" count="931" uniqueCount="316">
  <si>
    <t>HA</t>
  </si>
  <si>
    <t>Dec</t>
  </si>
  <si>
    <t>RA</t>
  </si>
  <si>
    <t>hr</t>
  </si>
  <si>
    <t>deg</t>
  </si>
  <si>
    <t>Az</t>
  </si>
  <si>
    <t>Alt</t>
  </si>
  <si>
    <t>Latitude</t>
  </si>
  <si>
    <t>Name</t>
  </si>
  <si>
    <t>Moon</t>
  </si>
  <si>
    <t>UT</t>
  </si>
  <si>
    <t>Labels</t>
  </si>
  <si>
    <t>HA: -6hr</t>
  </si>
  <si>
    <t>HA: +6hr</t>
  </si>
  <si>
    <t>Dec: #</t>
  </si>
  <si>
    <t>Dist</t>
  </si>
  <si>
    <t>LST - UT</t>
  </si>
  <si>
    <t>#</t>
  </si>
  <si>
    <t>UT sunset</t>
  </si>
  <si>
    <t>UT sunrise</t>
  </si>
  <si>
    <t>UT 18-deg</t>
  </si>
  <si>
    <t>UT 12-deg</t>
  </si>
  <si>
    <t>sunset</t>
  </si>
  <si>
    <t>sunrise</t>
  </si>
  <si>
    <t>midnight</t>
  </si>
  <si>
    <t>trans</t>
  </si>
  <si>
    <t>UT midnight</t>
  </si>
  <si>
    <t>Limits &amp; Lines</t>
  </si>
  <si>
    <t>X</t>
  </si>
  <si>
    <t>Y</t>
  </si>
  <si>
    <t>Label</t>
  </si>
  <si>
    <t>MODS</t>
  </si>
  <si>
    <t>MODS, UT=</t>
  </si>
  <si>
    <t>Num</t>
  </si>
  <si>
    <t>Now</t>
  </si>
  <si>
    <t>UT-Now</t>
  </si>
  <si>
    <t>Target Informaion</t>
  </si>
  <si>
    <t>Altitude vs UT Curves</t>
  </si>
  <si>
    <t>PA</t>
  </si>
  <si>
    <t>Target</t>
  </si>
  <si>
    <t>10-deg</t>
  </si>
  <si>
    <t>LUCI, UT=</t>
  </si>
  <si>
    <t>LST-Now</t>
  </si>
  <si>
    <t>10-degree scales</t>
  </si>
  <si>
    <t>LUCI</t>
  </si>
  <si>
    <t>LBC</t>
  </si>
  <si>
    <t>LBC, UT=</t>
  </si>
  <si>
    <t>PEPSI, UT=</t>
  </si>
  <si>
    <t>Longitude</t>
  </si>
  <si>
    <t>Month</t>
  </si>
  <si>
    <t>Day</t>
  </si>
  <si>
    <t>Year</t>
  </si>
  <si>
    <t>days</t>
  </si>
  <si>
    <t xml:space="preserve">deg (W) </t>
  </si>
  <si>
    <t>L (mean long)</t>
  </si>
  <si>
    <t>g (mean anomaly)</t>
  </si>
  <si>
    <t>obliquity</t>
  </si>
  <si>
    <t>RA-sun</t>
  </si>
  <si>
    <t>Dec-sun</t>
  </si>
  <si>
    <t>LST midnight</t>
  </si>
  <si>
    <t>HA rise/set to midn</t>
  </si>
  <si>
    <t>HA 12-deg</t>
  </si>
  <si>
    <t>HA 18-deg</t>
  </si>
  <si>
    <t>n: days from 1/1/2000</t>
  </si>
  <si>
    <t>ecliptic-long</t>
  </si>
  <si>
    <t>PEPSI</t>
  </si>
  <si>
    <t>LST to UT offset for given date</t>
  </si>
  <si>
    <t>Sun's RA &amp; dec (approx)</t>
  </si>
  <si>
    <t>Times of midnight, rise/set, twilight</t>
  </si>
  <si>
    <t>Sunset/rise &amp; twilight times</t>
  </si>
  <si>
    <t>m</t>
  </si>
  <si>
    <t>n</t>
  </si>
  <si>
    <t>JD0 1/1/2000</t>
  </si>
  <si>
    <t>JD = JD0 + n</t>
  </si>
  <si>
    <t>Moon position (approx)</t>
  </si>
  <si>
    <t>T  cent from 1/1/2000</t>
  </si>
  <si>
    <t>centuries</t>
  </si>
  <si>
    <t>ecliptic-Long</t>
  </si>
  <si>
    <t>ecliptic-lat</t>
  </si>
  <si>
    <t>l  (direction cosines)</t>
  </si>
  <si>
    <t>RA-moon</t>
  </si>
  <si>
    <t>Dec-moon</t>
  </si>
  <si>
    <t xml:space="preserve">Angle to sun: </t>
  </si>
  <si>
    <t>Moon phase</t>
  </si>
  <si>
    <t>Alt-Az lines for six dec values</t>
  </si>
  <si>
    <t>UT-now for plotting Alt-UT markers</t>
  </si>
  <si>
    <t>N</t>
  </si>
  <si>
    <t>NE</t>
  </si>
  <si>
    <t>E</t>
  </si>
  <si>
    <t>SE</t>
  </si>
  <si>
    <t>SW</t>
  </si>
  <si>
    <t>W</t>
  </si>
  <si>
    <t>NW</t>
  </si>
  <si>
    <t>S</t>
  </si>
  <si>
    <t>Alt \ Az</t>
  </si>
  <si>
    <t>Zenith</t>
  </si>
  <si>
    <t>NGP-RA</t>
  </si>
  <si>
    <t>NGP-Dec</t>
  </si>
  <si>
    <t>GC</t>
  </si>
  <si>
    <t>Galactic Plane</t>
  </si>
  <si>
    <t>Cardinal Directions</t>
  </si>
  <si>
    <t>All-Sky Alt-Az Markers</t>
  </si>
  <si>
    <t>LST − UT</t>
  </si>
  <si>
    <t>Local − UT</t>
  </si>
  <si>
    <t>Local Time</t>
  </si>
  <si>
    <t>hrs</t>
  </si>
  <si>
    <t>Alt-Az Plot</t>
  </si>
  <si>
    <t>All-sky Cam Plot</t>
  </si>
  <si>
    <t>Alt-UT plot</t>
  </si>
  <si>
    <t>All-sky Camera</t>
  </si>
  <si>
    <t>NCP</t>
  </si>
  <si>
    <t>Partner</t>
  </si>
  <si>
    <t>OSU</t>
  </si>
  <si>
    <t>ND</t>
  </si>
  <si>
    <t>UM</t>
  </si>
  <si>
    <t>UVa</t>
  </si>
  <si>
    <t>Done</t>
  </si>
  <si>
    <t>Target Name</t>
  </si>
  <si>
    <t>done</t>
  </si>
  <si>
    <t>Priority</t>
  </si>
  <si>
    <t>1,2,3</t>
  </si>
  <si>
    <t>Visit</t>
  </si>
  <si>
    <t>hr.</t>
  </si>
  <si>
    <t>deg.</t>
  </si>
  <si>
    <t>hh.mm</t>
  </si>
  <si>
    <t>dd.mm</t>
  </si>
  <si>
    <t>HA limit</t>
  </si>
  <si>
    <t>past</t>
  </si>
  <si>
    <t>Meridian</t>
  </si>
  <si>
    <t>TL-</t>
  </si>
  <si>
    <t>show</t>
  </si>
  <si>
    <t>Time Left</t>
  </si>
  <si>
    <t>Past</t>
  </si>
  <si>
    <t>Total Visit Times (hrs)</t>
  </si>
  <si>
    <t>Balance</t>
  </si>
  <si>
    <t>Allocation</t>
  </si>
  <si>
    <t>Efficiency</t>
  </si>
  <si>
    <t># nights:</t>
  </si>
  <si>
    <t>12 - 12 deg</t>
  </si>
  <si>
    <t>18 - 18 deg</t>
  </si>
  <si>
    <t>Run total</t>
  </si>
  <si>
    <t>h.m</t>
  </si>
  <si>
    <t>h.m &amp; d.m</t>
  </si>
  <si>
    <t>GMST at UT 0</t>
  </si>
  <si>
    <t>Basic information: taken from Setup sheet</t>
  </si>
  <si>
    <t>Accounting of completed observations.</t>
  </si>
  <si>
    <t>Totals</t>
  </si>
  <si>
    <t>Date</t>
  </si>
  <si>
    <t>Enter current  UT</t>
  </si>
  <si>
    <t>Slit wid</t>
  </si>
  <si>
    <t>arcsec</t>
  </si>
  <si>
    <t>Seeing FWHM</t>
  </si>
  <si>
    <t>sig x sqrt(2)</t>
  </si>
  <si>
    <t>micron</t>
  </si>
  <si>
    <t>meters</t>
  </si>
  <si>
    <t>Temp</t>
  </si>
  <si>
    <t>C</t>
  </si>
  <si>
    <t>F-atm</t>
  </si>
  <si>
    <t>ZD</t>
  </si>
  <si>
    <t>Offset</t>
  </si>
  <si>
    <t>Deg</t>
  </si>
  <si>
    <t>UT Now</t>
  </si>
  <si>
    <t>mic</t>
  </si>
  <si>
    <t>Delta</t>
  </si>
  <si>
    <t>Low</t>
  </si>
  <si>
    <t>High</t>
  </si>
  <si>
    <t>Wav</t>
  </si>
  <si>
    <t>North</t>
  </si>
  <si>
    <t>East</t>
  </si>
  <si>
    <t>UT-trans</t>
  </si>
  <si>
    <t>Transit</t>
  </si>
  <si>
    <t>Compass</t>
  </si>
  <si>
    <t>Guide-wav</t>
  </si>
  <si>
    <t>Tel. Elevation</t>
  </si>
  <si>
    <t>Purple (X,Y)</t>
  </si>
  <si>
    <t>Blue (X,Y)</t>
  </si>
  <si>
    <t>Green (XY)</t>
  </si>
  <si>
    <t>Red (XY)</t>
  </si>
  <si>
    <t>Slit position</t>
  </si>
  <si>
    <t>Seeing Circles</t>
  </si>
  <si>
    <t>Offsets and slit losses</t>
  </si>
  <si>
    <t>Wavelengths</t>
  </si>
  <si>
    <t>Object Name</t>
  </si>
  <si>
    <t>Along</t>
  </si>
  <si>
    <t>Across</t>
  </si>
  <si>
    <t>Å</t>
  </si>
  <si>
    <t>sig</t>
  </si>
  <si>
    <t>Thru</t>
  </si>
  <si>
    <t>PA ± 180</t>
  </si>
  <si>
    <t>PA180</t>
  </si>
  <si>
    <t>wavelength (microns)</t>
  </si>
  <si>
    <t>deg (solid)</t>
  </si>
  <si>
    <t>Slit Angle</t>
  </si>
  <si>
    <t>UT  vs  Alt, PA, PA180 &amp; Offsets</t>
  </si>
  <si>
    <t>Z</t>
  </si>
  <si>
    <t>deg (N-thru-E)</t>
  </si>
  <si>
    <t>deg (dashed)</t>
  </si>
  <si>
    <t>Slit</t>
  </si>
  <si>
    <t>SL</t>
  </si>
  <si>
    <t>Par-Angle</t>
  </si>
  <si>
    <t>Frac illumination</t>
  </si>
  <si>
    <t>Frac. Illum.</t>
  </si>
  <si>
    <t xml:space="preserve">Frac Illum. </t>
  </si>
  <si>
    <t>nL</t>
  </si>
  <si>
    <t>mag/atm</t>
  </si>
  <si>
    <t>V-mg/ss</t>
  </si>
  <si>
    <t>Sky Brightness</t>
  </si>
  <si>
    <t>V mg/ss</t>
  </si>
  <si>
    <t>I*  Moon's brightness</t>
  </si>
  <si>
    <r>
      <t>k</t>
    </r>
    <r>
      <rPr>
        <vertAlign val="subscript"/>
        <sz val="12"/>
        <color theme="1"/>
        <rFont val="Aptos Narrow (Body)"/>
      </rPr>
      <t>abs</t>
    </r>
    <r>
      <rPr>
        <sz val="12"/>
        <color theme="1"/>
        <rFont val="Aptos Narrow"/>
        <family val="2"/>
        <scheme val="minor"/>
      </rPr>
      <t xml:space="preserve">  Zenith absorption</t>
    </r>
  </si>
  <si>
    <t>Scattered moonlight:</t>
  </si>
  <si>
    <t>Object</t>
  </si>
  <si>
    <t>Notes</t>
  </si>
  <si>
    <t>Enter UT Date</t>
  </si>
  <si>
    <t>footcandles</t>
  </si>
  <si>
    <t>S L I T</t>
  </si>
  <si>
    <t>J2229</t>
  </si>
  <si>
    <t>PETS-1518</t>
  </si>
  <si>
    <t>PETS-1431</t>
  </si>
  <si>
    <t>TIC3071</t>
  </si>
  <si>
    <t>TIC5285</t>
  </si>
  <si>
    <t>TIC3898</t>
  </si>
  <si>
    <t>TIC2864</t>
  </si>
  <si>
    <t>TIC3922</t>
  </si>
  <si>
    <t>TIC2600</t>
  </si>
  <si>
    <t>TIC4541</t>
  </si>
  <si>
    <t>TIC3674</t>
  </si>
  <si>
    <t>TIC3178</t>
  </si>
  <si>
    <t>TIC7329</t>
  </si>
  <si>
    <t>TIC4344</t>
  </si>
  <si>
    <t>TIC8927</t>
  </si>
  <si>
    <t>TIC2783</t>
  </si>
  <si>
    <t>TIC4140</t>
  </si>
  <si>
    <t>TIC4707</t>
  </si>
  <si>
    <t>Delay until later in the run (when further from the moon).</t>
  </si>
  <si>
    <t>Multiple visit separated by &gt;8 hrs (periods 0.4 &amp; 1.8 days = 10 &amp; 43 hrs).</t>
  </si>
  <si>
    <t>Multiple visit separated by &gt;8 hrs (periods 1.1 &amp; 20 days)</t>
  </si>
  <si>
    <t>Sept 18 start of night. Start 20:50MST end 02:50 (HA -3:05 - +2:55)</t>
  </si>
  <si>
    <t xml:space="preserve">second half of the run, start at evening twilight when moon is still down. </t>
  </si>
  <si>
    <t>gd71</t>
  </si>
  <si>
    <t>gd153</t>
  </si>
  <si>
    <t>feige34</t>
  </si>
  <si>
    <t>feige110</t>
  </si>
  <si>
    <t>g191b2b</t>
  </si>
  <si>
    <t>Cal</t>
  </si>
  <si>
    <t>Run script twice. Run G191b2b script (same night). Slit to 1.0 if seeing 1.0.</t>
  </si>
  <si>
    <t>Don't adjust PA to parallactic (extended emission knots). Airmass &lt; 1.3</t>
  </si>
  <si>
    <t>h.mm</t>
  </si>
  <si>
    <t>d.mm</t>
  </si>
  <si>
    <t>Warnings</t>
  </si>
  <si>
    <t>Target Information</t>
  </si>
  <si>
    <t>AM</t>
  </si>
  <si>
    <t>HA-lim</t>
  </si>
  <si>
    <t>Other values</t>
  </si>
  <si>
    <t>Alt-Lim</t>
  </si>
  <si>
    <t>Altitude/HA limits</t>
  </si>
  <si>
    <t xml:space="preserve">hr. </t>
  </si>
  <si>
    <t>These are some of the most used MODS/LUCI flux standards.</t>
  </si>
  <si>
    <t>Sept 21 start of night. Start 21:45 MST end 02:15 (HA 0:25 - 4:55) (UT 04:45 - 09:15)</t>
  </si>
  <si>
    <t>J0042</t>
  </si>
  <si>
    <t>J0158</t>
  </si>
  <si>
    <t>J0224</t>
  </si>
  <si>
    <t>J2031</t>
  </si>
  <si>
    <t>Lat</t>
  </si>
  <si>
    <t>UT-now</t>
  </si>
  <si>
    <t>LST-UT</t>
  </si>
  <si>
    <t>RA-zenith</t>
  </si>
  <si>
    <t>Dec-zenith</t>
  </si>
  <si>
    <t>ZD-1</t>
  </si>
  <si>
    <t>ZD-2</t>
  </si>
  <si>
    <t>ZD-3</t>
  </si>
  <si>
    <t>no-wrap</t>
  </si>
  <si>
    <t>Axis</t>
  </si>
  <si>
    <t>Alt = 60 (red)</t>
  </si>
  <si>
    <t>Alt = 30 (blue)</t>
  </si>
  <si>
    <t>Horizon (Alt = 0) (black)</t>
  </si>
  <si>
    <t>Overlay?</t>
  </si>
  <si>
    <t>targets from instrument sheets</t>
  </si>
  <si>
    <t>Altitude lines</t>
  </si>
  <si>
    <t>MODS; LUCI; LBC; PEPSI</t>
  </si>
  <si>
    <t xml:space="preserve">     1           2            3         4</t>
  </si>
  <si>
    <t>Labels:</t>
  </si>
  <si>
    <t>Elevation Lines</t>
  </si>
  <si>
    <t>Current Time</t>
  </si>
  <si>
    <t>Optional overlay</t>
  </si>
  <si>
    <t>Constants from Calcs</t>
  </si>
  <si>
    <t>Obj</t>
  </si>
  <si>
    <t>𝜃</t>
  </si>
  <si>
    <t>Uranus</t>
  </si>
  <si>
    <t>UT dates of the current run:     2/25-29/2025</t>
  </si>
  <si>
    <t>SDSS1411</t>
  </si>
  <si>
    <t>N5474</t>
  </si>
  <si>
    <t>N4826</t>
  </si>
  <si>
    <t>N4236</t>
  </si>
  <si>
    <t>N4449</t>
  </si>
  <si>
    <t>N4605</t>
  </si>
  <si>
    <t>SN95n</t>
  </si>
  <si>
    <t>Needs seeing &lt;1.3.</t>
  </si>
  <si>
    <t>SBS1135</t>
  </si>
  <si>
    <t>XMD Mrk59</t>
  </si>
  <si>
    <t>SBS1437</t>
  </si>
  <si>
    <t>SCAT-2024pjl</t>
  </si>
  <si>
    <t>SCAT-2024inv</t>
  </si>
  <si>
    <t>U4115-dw2</t>
  </si>
  <si>
    <t>U4115-dw1</t>
  </si>
  <si>
    <t>U4426-dw1</t>
  </si>
  <si>
    <t>N3738-dw7</t>
  </si>
  <si>
    <t>N3738-dw10</t>
  </si>
  <si>
    <t>N4236-dw13</t>
  </si>
  <si>
    <t>I4182-dw13</t>
  </si>
  <si>
    <t>N4861-dw5</t>
  </si>
  <si>
    <t>N5204-dw3</t>
  </si>
  <si>
    <t>N6503-dw6</t>
  </si>
  <si>
    <t>N5585-dw11</t>
  </si>
  <si>
    <t>nix</t>
  </si>
  <si>
    <t>4115-dw2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</si>
</sst>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13" x14ac:knownFonts="1">
    <font>
      <sz val="12"/>
      <color theme="1"/>
      <name val="Aptos Narrow"/>
      <family val="2"/>
      <scheme val="minor"/>
    </font>
    <font>
      <sz val="8"/>
      <name val="Aptos Narrow"/>
      <family val="2"/>
      <scheme val="minor"/>
    </font>
    <font>
      <sz val="12"/>
      <color theme="1"/>
      <name val="Aptos Narrow"/>
      <scheme val="minor"/>
    </font>
    <font>
      <sz val="12"/>
      <color rgb="FF000000"/>
      <name val="Aptos Narrow"/>
      <scheme val="minor"/>
    </font>
    <font>
      <sz val="12"/>
      <color rgb="FF000000"/>
      <name val="Aptos Narrow"/>
      <family val="2"/>
      <scheme val="minor"/>
    </font>
    <font>
      <sz val="12"/>
      <color theme="1"/>
      <name val="Aptos Narrow"/>
      <family val="2"/>
      <scheme val="minor"/>
    </font>
    <font>
      <b/>
      <sz val="12"/>
      <color theme="1"/>
      <name val="Aptos Narrow"/>
      <scheme val="minor"/>
    </font>
    <font>
      <sz val="14"/>
      <color theme="1"/>
      <name val="Aptos Narrow"/>
      <scheme val="minor"/>
    </font>
    <font>
      <sz val="12"/>
      <color rgb="FF000000"/>
      <name val="Calibri"/>
      <family val="2"/>
    </font>
    <font>
      <i/>
      <sz val="12"/>
      <color theme="1"/>
      <name val="Aptos Narrow"/>
      <scheme val="minor"/>
    </font>
    <font>
      <vertAlign val="subscript"/>
      <sz val="12"/>
      <color theme="1"/>
      <name val="Aptos Narrow (Body)"/>
    </font>
    <font>
      <b/>
      <sz val="12"/>
      <color rgb="FF0070C0"/>
      <name val="Aptos Narrow"/>
      <scheme val="minor"/>
    </font>
    <font>
      <b/>
      <sz val="12"/>
      <color rgb="FFFF0000"/>
      <name val="Aptos Narrow"/>
      <scheme val="minor"/>
    </font>
  </fonts>
  <fills count="2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rgb="FF000000"/>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8C1AE"/>
        <bgColor indexed="64"/>
      </patternFill>
    </fill>
    <fill>
      <patternFill patternType="solid">
        <fgColor theme="2" tint="-9.9978637043366805E-2"/>
        <bgColor indexed="64"/>
      </patternFill>
    </fill>
    <fill>
      <patternFill patternType="solid">
        <fgColor rgb="FFF2CEEF"/>
        <bgColor rgb="FF000000"/>
      </patternFill>
    </fill>
    <fill>
      <patternFill patternType="solid">
        <fgColor theme="9" tint="0.79998168889431442"/>
        <bgColor rgb="FF000000"/>
      </patternFill>
    </fill>
    <fill>
      <patternFill patternType="solid">
        <fgColor theme="5" tint="0.79998168889431442"/>
        <bgColor rgb="FF000000"/>
      </patternFill>
    </fill>
    <fill>
      <patternFill patternType="solid">
        <fgColor rgb="FFFFF9D1"/>
        <bgColor indexed="64"/>
      </patternFill>
    </fill>
    <fill>
      <patternFill patternType="solid">
        <fgColor rgb="FFFFB3C1"/>
        <bgColor indexed="64"/>
      </patternFill>
    </fill>
    <fill>
      <patternFill patternType="solid">
        <fgColor rgb="FFFFD3C6"/>
        <bgColor indexed="64"/>
      </patternFill>
    </fill>
    <fill>
      <patternFill patternType="solid">
        <fgColor rgb="FFFFAEB4"/>
        <bgColor indexed="64"/>
      </patternFill>
    </fill>
    <fill>
      <patternFill patternType="solid">
        <fgColor rgb="FFFFA5AC"/>
        <bgColor indexed="64"/>
      </patternFill>
    </fill>
    <fill>
      <patternFill patternType="solid">
        <fgColor rgb="FFD9D9D9"/>
        <bgColor rgb="FF000000"/>
      </patternFill>
    </fill>
    <fill>
      <patternFill patternType="solid">
        <fgColor rgb="FFCAEDFB"/>
        <bgColor rgb="FF000000"/>
      </patternFill>
    </fill>
    <fill>
      <patternFill patternType="solid">
        <fgColor rgb="FFF7C7AC"/>
        <bgColor rgb="FF000000"/>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1"/>
      </left>
      <right style="thin">
        <color theme="1"/>
      </right>
      <top style="thin">
        <color theme="1"/>
      </top>
      <bottom style="thin">
        <color theme="1"/>
      </bottom>
      <diagonal/>
    </border>
    <border>
      <left style="medium">
        <color theme="1"/>
      </left>
      <right style="medium">
        <color theme="1"/>
      </right>
      <top style="medium">
        <color theme="1"/>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style="thin">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thin">
        <color theme="1"/>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rgb="FF000000"/>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style="medium">
        <color indexed="64"/>
      </bottom>
      <diagonal/>
    </border>
  </borders>
  <cellStyleXfs count="2">
    <xf numFmtId="0" fontId="0" fillId="0" borderId="0"/>
    <xf numFmtId="9" fontId="5" fillId="0" borderId="0" applyFont="0" applyFill="0" applyBorder="0" applyAlignment="0" applyProtection="0"/>
  </cellStyleXfs>
  <cellXfs count="371">
    <xf numFmtId="0" fontId="0" fillId="0" borderId="0" xfId="0"/>
    <xf numFmtId="0" fontId="0" fillId="0" borderId="0" xfId="0" applyAlignment="1">
      <alignment horizontal="center"/>
    </xf>
    <xf numFmtId="0" fontId="0" fillId="3" borderId="1" xfId="0" applyFill="1" applyBorder="1" applyAlignment="1">
      <alignment horizontal="center"/>
    </xf>
    <xf numFmtId="1" fontId="0" fillId="0" borderId="0" xfId="0" applyNumberFormat="1"/>
    <xf numFmtId="0" fontId="0" fillId="4" borderId="1" xfId="0" applyFill="1" applyBorder="1" applyAlignment="1">
      <alignment horizontal="center"/>
    </xf>
    <xf numFmtId="0" fontId="0" fillId="2" borderId="1" xfId="0" applyFill="1" applyBorder="1" applyAlignment="1">
      <alignment horizontal="center"/>
    </xf>
    <xf numFmtId="0" fontId="0" fillId="0" borderId="8" xfId="0" applyBorder="1"/>
    <xf numFmtId="1" fontId="0" fillId="0" borderId="9" xfId="0" applyNumberFormat="1" applyBorder="1"/>
    <xf numFmtId="0" fontId="0" fillId="0" borderId="10" xfId="0" applyBorder="1"/>
    <xf numFmtId="0" fontId="0" fillId="0" borderId="11" xfId="0" applyBorder="1"/>
    <xf numFmtId="1" fontId="0" fillId="0" borderId="11" xfId="0" applyNumberFormat="1" applyBorder="1"/>
    <xf numFmtId="1" fontId="0" fillId="0" borderId="12" xfId="0" applyNumberFormat="1" applyBorder="1"/>
    <xf numFmtId="0" fontId="0" fillId="5" borderId="3" xfId="0" applyFill="1" applyBorder="1" applyAlignment="1">
      <alignment horizontal="center"/>
    </xf>
    <xf numFmtId="0" fontId="0" fillId="5" borderId="6" xfId="0" applyFill="1" applyBorder="1" applyAlignment="1">
      <alignment horizontal="center"/>
    </xf>
    <xf numFmtId="0" fontId="0" fillId="0" borderId="9" xfId="0" applyBorder="1"/>
    <xf numFmtId="0" fontId="0" fillId="0" borderId="12" xfId="0" applyBorder="1"/>
    <xf numFmtId="2" fontId="0" fillId="0" borderId="0" xfId="0" applyNumberFormat="1"/>
    <xf numFmtId="0" fontId="0" fillId="0" borderId="1" xfId="0" applyBorder="1" applyAlignment="1">
      <alignment horizontal="center"/>
    </xf>
    <xf numFmtId="1" fontId="0" fillId="0" borderId="1" xfId="0" applyNumberFormat="1" applyBorder="1" applyAlignment="1">
      <alignment horizontal="center"/>
    </xf>
    <xf numFmtId="0" fontId="0" fillId="5" borderId="1"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5" borderId="7" xfId="0" applyFill="1" applyBorder="1" applyAlignment="1">
      <alignment horizontal="center"/>
    </xf>
    <xf numFmtId="0" fontId="0" fillId="0" borderId="13"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164" fontId="0" fillId="0" borderId="8" xfId="0" applyNumberFormat="1" applyBorder="1"/>
    <xf numFmtId="164" fontId="0" fillId="0" borderId="10" xfId="0" applyNumberFormat="1" applyBorder="1"/>
    <xf numFmtId="0" fontId="0" fillId="0" borderId="8" xfId="0" applyBorder="1" applyAlignment="1">
      <alignment horizontal="right"/>
    </xf>
    <xf numFmtId="164" fontId="0" fillId="0" borderId="11" xfId="0" applyNumberFormat="1" applyBorder="1" applyAlignment="1">
      <alignment horizontal="center"/>
    </xf>
    <xf numFmtId="1" fontId="0" fillId="0" borderId="11" xfId="0" applyNumberFormat="1" applyBorder="1" applyAlignment="1">
      <alignment horizontal="center"/>
    </xf>
    <xf numFmtId="164" fontId="0" fillId="2" borderId="1" xfId="0" applyNumberFormat="1" applyFill="1" applyBorder="1" applyAlignment="1">
      <alignment horizontal="center"/>
    </xf>
    <xf numFmtId="2" fontId="0" fillId="0" borderId="0" xfId="0" applyNumberFormat="1" applyAlignment="1">
      <alignment horizontal="center"/>
    </xf>
    <xf numFmtId="0" fontId="3" fillId="6" borderId="1" xfId="0" applyFont="1" applyFill="1" applyBorder="1" applyAlignment="1">
      <alignment horizontal="center"/>
    </xf>
    <xf numFmtId="1" fontId="0" fillId="0" borderId="8" xfId="0" applyNumberFormat="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2" fontId="2" fillId="0" borderId="0" xfId="0" applyNumberFormat="1" applyFont="1"/>
    <xf numFmtId="2" fontId="0" fillId="0" borderId="11" xfId="0" applyNumberFormat="1" applyBorder="1"/>
    <xf numFmtId="0" fontId="0" fillId="4" borderId="21" xfId="0" applyFill="1" applyBorder="1" applyAlignment="1">
      <alignment horizontal="center"/>
    </xf>
    <xf numFmtId="0" fontId="0" fillId="4" borderId="14" xfId="0" applyFill="1" applyBorder="1" applyAlignment="1">
      <alignment horizontal="center"/>
    </xf>
    <xf numFmtId="164" fontId="0" fillId="0" borderId="1" xfId="0" applyNumberFormat="1" applyBorder="1" applyAlignment="1">
      <alignment horizontal="center"/>
    </xf>
    <xf numFmtId="2" fontId="0" fillId="0" borderId="9" xfId="0" applyNumberFormat="1" applyBorder="1" applyAlignment="1">
      <alignment horizontal="center"/>
    </xf>
    <xf numFmtId="2" fontId="0" fillId="0" borderId="11" xfId="0" applyNumberFormat="1" applyBorder="1" applyAlignment="1">
      <alignment horizontal="center"/>
    </xf>
    <xf numFmtId="2" fontId="0" fillId="0" borderId="12" xfId="0" applyNumberFormat="1" applyBorder="1" applyAlignment="1">
      <alignment horizontal="center"/>
    </xf>
    <xf numFmtId="2" fontId="0" fillId="0" borderId="8" xfId="0" applyNumberFormat="1" applyBorder="1" applyAlignment="1">
      <alignment horizontal="center"/>
    </xf>
    <xf numFmtId="0" fontId="4" fillId="6" borderId="1" xfId="0" applyFont="1" applyFill="1" applyBorder="1" applyAlignment="1">
      <alignment horizontal="center"/>
    </xf>
    <xf numFmtId="0" fontId="4" fillId="6" borderId="23" xfId="0" applyFont="1" applyFill="1" applyBorder="1" applyAlignment="1">
      <alignment horizontal="center"/>
    </xf>
    <xf numFmtId="164" fontId="4" fillId="6" borderId="23" xfId="0" applyNumberFormat="1" applyFont="1" applyFill="1" applyBorder="1" applyAlignment="1">
      <alignment horizontal="center"/>
    </xf>
    <xf numFmtId="0" fontId="0" fillId="0" borderId="0" xfId="0" applyAlignment="1">
      <alignment horizontal="right"/>
    </xf>
    <xf numFmtId="165" fontId="0" fillId="0" borderId="0" xfId="0" applyNumberFormat="1"/>
    <xf numFmtId="2" fontId="0" fillId="0" borderId="10" xfId="0" applyNumberFormat="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8" borderId="1" xfId="0" applyFill="1" applyBorder="1" applyAlignment="1">
      <alignment horizontal="center"/>
    </xf>
    <xf numFmtId="1" fontId="0" fillId="8" borderId="1" xfId="0" applyNumberFormat="1" applyFill="1" applyBorder="1" applyAlignment="1">
      <alignment horizontal="center"/>
    </xf>
    <xf numFmtId="0" fontId="0" fillId="8" borderId="23" xfId="0" applyFill="1" applyBorder="1" applyAlignment="1">
      <alignment horizontal="center"/>
    </xf>
    <xf numFmtId="0" fontId="0" fillId="7" borderId="23" xfId="0" applyFill="1" applyBorder="1"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2" fontId="0" fillId="0" borderId="9" xfId="0" applyNumberFormat="1" applyBorder="1"/>
    <xf numFmtId="1" fontId="0" fillId="8" borderId="22" xfId="0" applyNumberFormat="1" applyFill="1" applyBorder="1" applyAlignment="1">
      <alignment horizontal="center"/>
    </xf>
    <xf numFmtId="164" fontId="0" fillId="0" borderId="8" xfId="0" applyNumberFormat="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0" fillId="8" borderId="5" xfId="0" applyFill="1" applyBorder="1" applyAlignment="1">
      <alignment horizontal="center"/>
    </xf>
    <xf numFmtId="1" fontId="0" fillId="8" borderId="28" xfId="0" applyNumberFormat="1" applyFill="1" applyBorder="1" applyAlignment="1">
      <alignment horizontal="center"/>
    </xf>
    <xf numFmtId="1" fontId="0" fillId="8" borderId="6" xfId="0" applyNumberFormat="1" applyFill="1" applyBorder="1" applyAlignment="1">
      <alignment horizontal="center"/>
    </xf>
    <xf numFmtId="0" fontId="0" fillId="8" borderId="29" xfId="0" applyFill="1" applyBorder="1" applyAlignment="1">
      <alignment horizontal="center"/>
    </xf>
    <xf numFmtId="0" fontId="0" fillId="8" borderId="22" xfId="0" applyFill="1" applyBorder="1" applyAlignment="1">
      <alignment horizontal="center"/>
    </xf>
    <xf numFmtId="0" fontId="0" fillId="8" borderId="30" xfId="0" applyFill="1" applyBorder="1" applyAlignment="1">
      <alignment horizontal="center"/>
    </xf>
    <xf numFmtId="0" fontId="0" fillId="8" borderId="6" xfId="0" applyFill="1" applyBorder="1" applyAlignment="1">
      <alignment horizontal="center"/>
    </xf>
    <xf numFmtId="2" fontId="0" fillId="0" borderId="12" xfId="0" applyNumberFormat="1" applyBorder="1"/>
    <xf numFmtId="2" fontId="0" fillId="0" borderId="27" xfId="0" applyNumberFormat="1" applyBorder="1" applyAlignment="1">
      <alignment horizontal="center"/>
    </xf>
    <xf numFmtId="0" fontId="0" fillId="0" borderId="27" xfId="0" applyBorder="1" applyAlignment="1">
      <alignment horizontal="center"/>
    </xf>
    <xf numFmtId="0" fontId="0" fillId="0" borderId="27" xfId="0" applyBorder="1"/>
    <xf numFmtId="0" fontId="0" fillId="0" borderId="31" xfId="0" applyBorder="1" applyAlignment="1">
      <alignment horizontal="center"/>
    </xf>
    <xf numFmtId="2" fontId="0" fillId="8" borderId="6" xfId="0" applyNumberFormat="1" applyFill="1" applyBorder="1" applyAlignment="1">
      <alignment horizontal="center"/>
    </xf>
    <xf numFmtId="1" fontId="0" fillId="8" borderId="7" xfId="0" applyNumberFormat="1" applyFill="1" applyBorder="1" applyAlignment="1">
      <alignment horizontal="center"/>
    </xf>
    <xf numFmtId="2" fontId="0" fillId="0" borderId="0" xfId="0" applyNumberFormat="1" applyAlignment="1">
      <alignment horizontal="right"/>
    </xf>
    <xf numFmtId="2" fontId="0" fillId="0" borderId="9" xfId="0" applyNumberFormat="1" applyBorder="1" applyAlignment="1">
      <alignment horizontal="right"/>
    </xf>
    <xf numFmtId="1" fontId="0" fillId="8" borderId="29" xfId="0" applyNumberFormat="1" applyFill="1" applyBorder="1" applyAlignment="1">
      <alignment horizontal="center"/>
    </xf>
    <xf numFmtId="2" fontId="0" fillId="0" borderId="11" xfId="0" applyNumberFormat="1" applyBorder="1" applyAlignment="1">
      <alignment horizontal="right"/>
    </xf>
    <xf numFmtId="2" fontId="0" fillId="0" borderId="12" xfId="0" applyNumberFormat="1" applyBorder="1" applyAlignment="1">
      <alignment horizontal="right"/>
    </xf>
    <xf numFmtId="0" fontId="0" fillId="0" borderId="13" xfId="0" applyBorder="1"/>
    <xf numFmtId="0" fontId="0" fillId="0" borderId="31" xfId="0" applyBorder="1"/>
    <xf numFmtId="0" fontId="0" fillId="4" borderId="32" xfId="0" applyFill="1" applyBorder="1" applyAlignment="1">
      <alignment horizontal="center"/>
    </xf>
    <xf numFmtId="1" fontId="0" fillId="0" borderId="27" xfId="0" applyNumberFormat="1" applyBorder="1"/>
    <xf numFmtId="0" fontId="0" fillId="5" borderId="33" xfId="0" applyFill="1" applyBorder="1" applyAlignment="1">
      <alignment horizontal="center"/>
    </xf>
    <xf numFmtId="2" fontId="0" fillId="2" borderId="1" xfId="0" applyNumberFormat="1" applyFill="1" applyBorder="1" applyAlignment="1">
      <alignment horizontal="center"/>
    </xf>
    <xf numFmtId="2" fontId="0" fillId="0" borderId="1" xfId="0" applyNumberFormat="1" applyBorder="1" applyAlignment="1">
      <alignment horizontal="center"/>
    </xf>
    <xf numFmtId="0" fontId="0" fillId="9" borderId="33" xfId="0" applyFill="1" applyBorder="1" applyAlignment="1">
      <alignment horizontal="center"/>
    </xf>
    <xf numFmtId="0" fontId="0" fillId="8" borderId="33" xfId="0" applyFill="1" applyBorder="1" applyAlignment="1">
      <alignment horizontal="center"/>
    </xf>
    <xf numFmtId="2" fontId="4" fillId="6" borderId="23" xfId="0" applyNumberFormat="1" applyFont="1" applyFill="1" applyBorder="1" applyAlignment="1">
      <alignment horizontal="center"/>
    </xf>
    <xf numFmtId="164" fontId="3" fillId="6" borderId="1" xfId="0" applyNumberFormat="1" applyFont="1" applyFill="1" applyBorder="1" applyAlignment="1">
      <alignment horizontal="center"/>
    </xf>
    <xf numFmtId="0" fontId="0" fillId="10" borderId="1" xfId="0" applyFill="1" applyBorder="1" applyAlignment="1">
      <alignment horizontal="center"/>
    </xf>
    <xf numFmtId="0" fontId="0" fillId="3" borderId="33" xfId="0" applyFill="1" applyBorder="1" applyAlignment="1">
      <alignment horizontal="center"/>
    </xf>
    <xf numFmtId="0" fontId="0" fillId="0" borderId="34" xfId="0" applyBorder="1"/>
    <xf numFmtId="0" fontId="0" fillId="0" borderId="35" xfId="0" applyBorder="1" applyAlignment="1">
      <alignment horizontal="center"/>
    </xf>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applyAlignment="1">
      <alignment horizontal="center"/>
    </xf>
    <xf numFmtId="0" fontId="0" fillId="0" borderId="40" xfId="0" applyBorder="1"/>
    <xf numFmtId="0" fontId="0" fillId="0" borderId="41" xfId="0" applyBorder="1"/>
    <xf numFmtId="0" fontId="0" fillId="0" borderId="34" xfId="0" applyBorder="1" applyAlignment="1">
      <alignment horizontal="center"/>
    </xf>
    <xf numFmtId="0" fontId="0" fillId="0" borderId="37" xfId="0" applyBorder="1" applyAlignment="1">
      <alignment horizontal="center"/>
    </xf>
    <xf numFmtId="164" fontId="0" fillId="0" borderId="40" xfId="0" applyNumberFormat="1" applyBorder="1" applyAlignment="1">
      <alignment horizontal="center"/>
    </xf>
    <xf numFmtId="0" fontId="0" fillId="2" borderId="43" xfId="0" applyFill="1" applyBorder="1"/>
    <xf numFmtId="2" fontId="0" fillId="2" borderId="43" xfId="0" applyNumberFormat="1" applyFill="1" applyBorder="1"/>
    <xf numFmtId="2" fontId="0" fillId="0" borderId="38" xfId="0" applyNumberFormat="1" applyBorder="1"/>
    <xf numFmtId="0" fontId="0" fillId="8" borderId="42" xfId="0" applyFill="1" applyBorder="1" applyAlignment="1">
      <alignment horizontal="center"/>
    </xf>
    <xf numFmtId="1" fontId="0" fillId="8" borderId="42" xfId="0" applyNumberFormat="1" applyFill="1" applyBorder="1" applyAlignment="1">
      <alignment horizontal="center"/>
    </xf>
    <xf numFmtId="0" fontId="0" fillId="11" borderId="45" xfId="0" applyFill="1" applyBorder="1" applyAlignment="1">
      <alignment horizontal="center"/>
    </xf>
    <xf numFmtId="0" fontId="0" fillId="5" borderId="47" xfId="0" applyFill="1" applyBorder="1" applyAlignment="1">
      <alignment horizontal="center"/>
    </xf>
    <xf numFmtId="2" fontId="0" fillId="0" borderId="38" xfId="0" applyNumberFormat="1" applyBorder="1" applyAlignment="1">
      <alignment horizontal="center"/>
    </xf>
    <xf numFmtId="0" fontId="0" fillId="9" borderId="47" xfId="0" applyFill="1" applyBorder="1" applyAlignment="1">
      <alignment horizontal="center"/>
    </xf>
    <xf numFmtId="0" fontId="0" fillId="8" borderId="47" xfId="0" applyFill="1" applyBorder="1" applyAlignment="1">
      <alignment horizontal="center"/>
    </xf>
    <xf numFmtId="0" fontId="0" fillId="3" borderId="47" xfId="0" applyFill="1" applyBorder="1" applyAlignment="1">
      <alignment horizontal="center"/>
    </xf>
    <xf numFmtId="1" fontId="0" fillId="0" borderId="37" xfId="0" applyNumberFormat="1" applyBorder="1"/>
    <xf numFmtId="1" fontId="0" fillId="11" borderId="47" xfId="0" applyNumberFormat="1" applyFill="1" applyBorder="1"/>
    <xf numFmtId="0" fontId="0" fillId="11" borderId="47" xfId="0" applyFill="1" applyBorder="1" applyAlignment="1">
      <alignment horizontal="left"/>
    </xf>
    <xf numFmtId="164" fontId="0" fillId="0" borderId="38" xfId="0" applyNumberFormat="1" applyBorder="1" applyAlignment="1">
      <alignment horizontal="center"/>
    </xf>
    <xf numFmtId="164" fontId="0" fillId="0" borderId="41" xfId="0" applyNumberFormat="1" applyBorder="1" applyAlignment="1">
      <alignment horizontal="center"/>
    </xf>
    <xf numFmtId="9" fontId="0" fillId="0" borderId="41" xfId="1" applyFont="1" applyBorder="1" applyAlignment="1">
      <alignment horizontal="center"/>
    </xf>
    <xf numFmtId="0" fontId="0" fillId="11" borderId="48" xfId="0" applyFill="1" applyBorder="1"/>
    <xf numFmtId="2" fontId="0" fillId="3" borderId="42" xfId="0" applyNumberFormat="1" applyFill="1" applyBorder="1" applyAlignment="1">
      <alignment horizontal="center"/>
    </xf>
    <xf numFmtId="0" fontId="0" fillId="11" borderId="49" xfId="0" applyFill="1" applyBorder="1"/>
    <xf numFmtId="0" fontId="0" fillId="2" borderId="46" xfId="0" applyFill="1" applyBorder="1" applyAlignment="1">
      <alignment horizontal="center"/>
    </xf>
    <xf numFmtId="0" fontId="0" fillId="11" borderId="44" xfId="0" applyFill="1" applyBorder="1" applyAlignment="1">
      <alignment horizontal="center"/>
    </xf>
    <xf numFmtId="0" fontId="0" fillId="11" borderId="47" xfId="0" applyFill="1" applyBorder="1"/>
    <xf numFmtId="2" fontId="0" fillId="2" borderId="42" xfId="0" applyNumberFormat="1" applyFill="1" applyBorder="1" applyAlignment="1">
      <alignment horizontal="center"/>
    </xf>
    <xf numFmtId="0" fontId="0" fillId="7" borderId="4" xfId="0" applyFill="1" applyBorder="1" applyAlignment="1">
      <alignment horizontal="center"/>
    </xf>
    <xf numFmtId="0" fontId="0" fillId="10" borderId="4" xfId="0" applyFill="1" applyBorder="1" applyAlignment="1">
      <alignment horizontal="center"/>
    </xf>
    <xf numFmtId="0" fontId="0" fillId="7" borderId="50" xfId="0" applyFill="1" applyBorder="1" applyAlignment="1">
      <alignment horizontal="center"/>
    </xf>
    <xf numFmtId="0" fontId="0" fillId="7" borderId="51" xfId="0" applyFill="1" applyBorder="1" applyAlignment="1">
      <alignment horizontal="center"/>
    </xf>
    <xf numFmtId="0" fontId="4" fillId="6" borderId="14" xfId="0" applyFont="1" applyFill="1" applyBorder="1" applyAlignment="1">
      <alignment horizontal="center"/>
    </xf>
    <xf numFmtId="0" fontId="4" fillId="6" borderId="52" xfId="0" applyFont="1" applyFill="1" applyBorder="1" applyAlignment="1">
      <alignment horizontal="center"/>
    </xf>
    <xf numFmtId="164" fontId="4" fillId="6" borderId="52" xfId="0" applyNumberFormat="1" applyFont="1" applyFill="1" applyBorder="1" applyAlignment="1">
      <alignment horizontal="center"/>
    </xf>
    <xf numFmtId="2" fontId="4" fillId="6" borderId="52" xfId="0" applyNumberFormat="1" applyFont="1" applyFill="1" applyBorder="1" applyAlignment="1">
      <alignment horizontal="center"/>
    </xf>
    <xf numFmtId="1" fontId="0" fillId="0" borderId="14" xfId="0" applyNumberFormat="1" applyBorder="1" applyAlignment="1">
      <alignment horizontal="center"/>
    </xf>
    <xf numFmtId="2" fontId="0" fillId="0" borderId="14" xfId="0" applyNumberFormat="1" applyBorder="1" applyAlignment="1">
      <alignment horizontal="center"/>
    </xf>
    <xf numFmtId="0" fontId="4" fillId="0" borderId="8" xfId="0" applyFont="1" applyBorder="1" applyAlignment="1">
      <alignment horizontal="right"/>
    </xf>
    <xf numFmtId="0" fontId="4" fillId="0" borderId="9" xfId="0" applyFont="1" applyBorder="1"/>
    <xf numFmtId="0" fontId="4" fillId="0" borderId="8" xfId="0" applyFont="1" applyBorder="1"/>
    <xf numFmtId="0" fontId="0" fillId="0" borderId="1" xfId="0" applyBorder="1"/>
    <xf numFmtId="0" fontId="0" fillId="2" borderId="22" xfId="0" applyFill="1" applyBorder="1" applyAlignment="1">
      <alignment horizontal="center"/>
    </xf>
    <xf numFmtId="0" fontId="8" fillId="0" borderId="0" xfId="0" applyFont="1"/>
    <xf numFmtId="0" fontId="8" fillId="6" borderId="1" xfId="0" applyFont="1" applyFill="1" applyBorder="1"/>
    <xf numFmtId="0" fontId="8" fillId="6" borderId="22" xfId="0" applyFont="1" applyFill="1" applyBorder="1"/>
    <xf numFmtId="165" fontId="8" fillId="0" borderId="0" xfId="0" applyNumberFormat="1" applyFont="1"/>
    <xf numFmtId="2" fontId="0" fillId="2" borderId="1" xfId="0" applyNumberFormat="1" applyFill="1" applyBorder="1"/>
    <xf numFmtId="2" fontId="0" fillId="9" borderId="1" xfId="0" applyNumberFormat="1" applyFill="1" applyBorder="1"/>
    <xf numFmtId="164" fontId="0" fillId="9" borderId="1" xfId="0" applyNumberFormat="1" applyFill="1" applyBorder="1"/>
    <xf numFmtId="0" fontId="0" fillId="9" borderId="1" xfId="0" applyFill="1" applyBorder="1"/>
    <xf numFmtId="0" fontId="8" fillId="13" borderId="1" xfId="0" applyFont="1" applyFill="1" applyBorder="1"/>
    <xf numFmtId="0" fontId="8" fillId="13" borderId="22" xfId="0" applyFont="1" applyFill="1" applyBorder="1"/>
    <xf numFmtId="164" fontId="8" fillId="6" borderId="1" xfId="0" applyNumberFormat="1" applyFont="1" applyFill="1" applyBorder="1"/>
    <xf numFmtId="2" fontId="0" fillId="15" borderId="1" xfId="0" applyNumberFormat="1" applyFill="1" applyBorder="1"/>
    <xf numFmtId="0" fontId="0" fillId="8" borderId="15" xfId="0" applyFill="1" applyBorder="1"/>
    <xf numFmtId="0" fontId="0" fillId="8" borderId="16" xfId="0" applyFill="1" applyBorder="1"/>
    <xf numFmtId="0" fontId="0" fillId="8" borderId="17" xfId="0" applyFill="1" applyBorder="1"/>
    <xf numFmtId="164" fontId="0" fillId="0" borderId="11" xfId="0" applyNumberFormat="1" applyBorder="1"/>
    <xf numFmtId="164" fontId="0" fillId="0" borderId="9" xfId="0" applyNumberFormat="1" applyBorder="1"/>
    <xf numFmtId="2" fontId="0" fillId="0" borderId="8" xfId="0" applyNumberFormat="1" applyBorder="1"/>
    <xf numFmtId="2" fontId="0" fillId="0" borderId="10" xfId="0" applyNumberFormat="1" applyBorder="1"/>
    <xf numFmtId="0" fontId="8" fillId="8" borderId="15" xfId="0" applyFont="1" applyFill="1" applyBorder="1"/>
    <xf numFmtId="2" fontId="8" fillId="0" borderId="0" xfId="0" applyNumberFormat="1" applyFont="1"/>
    <xf numFmtId="0" fontId="0" fillId="8" borderId="50" xfId="0" applyFill="1" applyBorder="1" applyAlignment="1">
      <alignment horizontal="center"/>
    </xf>
    <xf numFmtId="0" fontId="0" fillId="8" borderId="7" xfId="0" applyFill="1" applyBorder="1" applyAlignment="1">
      <alignment horizontal="center"/>
    </xf>
    <xf numFmtId="2" fontId="0" fillId="9" borderId="6" xfId="0" applyNumberFormat="1" applyFill="1" applyBorder="1"/>
    <xf numFmtId="0" fontId="0" fillId="9" borderId="7" xfId="0" applyFill="1" applyBorder="1"/>
    <xf numFmtId="164" fontId="0" fillId="0" borderId="0" xfId="0" applyNumberFormat="1"/>
    <xf numFmtId="2" fontId="0" fillId="15" borderId="2" xfId="0" applyNumberFormat="1" applyFill="1" applyBorder="1"/>
    <xf numFmtId="2" fontId="0" fillId="15" borderId="4" xfId="0" applyNumberFormat="1" applyFill="1" applyBorder="1"/>
    <xf numFmtId="1" fontId="8" fillId="14" borderId="1" xfId="0" applyNumberFormat="1" applyFont="1" applyFill="1" applyBorder="1"/>
    <xf numFmtId="1" fontId="0" fillId="9" borderId="1" xfId="0" applyNumberFormat="1" applyFill="1" applyBorder="1"/>
    <xf numFmtId="1" fontId="8" fillId="9" borderId="1" xfId="0" applyNumberFormat="1" applyFont="1" applyFill="1" applyBorder="1"/>
    <xf numFmtId="166" fontId="2" fillId="0" borderId="0" xfId="0" applyNumberFormat="1" applyFont="1"/>
    <xf numFmtId="0" fontId="2" fillId="0" borderId="0" xfId="0" applyFont="1"/>
    <xf numFmtId="165" fontId="2" fillId="0" borderId="0" xfId="0" applyNumberFormat="1" applyFont="1"/>
    <xf numFmtId="0" fontId="0" fillId="0" borderId="10" xfId="0" applyBorder="1" applyAlignment="1">
      <alignment horizontal="right"/>
    </xf>
    <xf numFmtId="1" fontId="4" fillId="0" borderId="0" xfId="0" applyNumberFormat="1" applyFont="1"/>
    <xf numFmtId="0" fontId="4" fillId="0" borderId="0" xfId="0" applyFont="1"/>
    <xf numFmtId="2" fontId="4" fillId="0" borderId="0" xfId="0" applyNumberFormat="1" applyFont="1"/>
    <xf numFmtId="0" fontId="4" fillId="0" borderId="10" xfId="0" applyFont="1" applyBorder="1" applyAlignment="1">
      <alignment horizontal="right"/>
    </xf>
    <xf numFmtId="0" fontId="4" fillId="0" borderId="12" xfId="0" applyFont="1" applyBorder="1"/>
    <xf numFmtId="11" fontId="0" fillId="0" borderId="0" xfId="0" applyNumberFormat="1"/>
    <xf numFmtId="165" fontId="0" fillId="0" borderId="0" xfId="0" applyNumberFormat="1" applyAlignment="1">
      <alignment horizontal="center"/>
    </xf>
    <xf numFmtId="0" fontId="9" fillId="0" borderId="11" xfId="0" applyFont="1" applyBorder="1"/>
    <xf numFmtId="2" fontId="6" fillId="2" borderId="43" xfId="0" applyNumberFormat="1" applyFont="1" applyFill="1" applyBorder="1"/>
    <xf numFmtId="164" fontId="0" fillId="0" borderId="14" xfId="0" applyNumberFormat="1" applyBorder="1" applyAlignment="1">
      <alignment horizontal="center"/>
    </xf>
    <xf numFmtId="0" fontId="0" fillId="8" borderId="51" xfId="0" applyFill="1" applyBorder="1" applyAlignment="1">
      <alignment horizontal="center"/>
    </xf>
    <xf numFmtId="0" fontId="0" fillId="0" borderId="14" xfId="0" applyBorder="1" applyAlignment="1">
      <alignment horizontal="center"/>
    </xf>
    <xf numFmtId="0" fontId="0" fillId="8" borderId="22" xfId="0" applyFill="1" applyBorder="1" applyAlignment="1">
      <alignment horizontal="right"/>
    </xf>
    <xf numFmtId="0" fontId="0" fillId="2" borderId="7" xfId="0" applyFill="1" applyBorder="1"/>
    <xf numFmtId="0" fontId="0" fillId="2" borderId="57" xfId="0" applyFill="1" applyBorder="1"/>
    <xf numFmtId="0" fontId="0" fillId="8" borderId="3" xfId="0" applyFill="1" applyBorder="1" applyAlignment="1">
      <alignment horizontal="right"/>
    </xf>
    <xf numFmtId="165" fontId="0" fillId="2" borderId="14" xfId="0" applyNumberFormat="1" applyFill="1" applyBorder="1"/>
    <xf numFmtId="0" fontId="0" fillId="2" borderId="1" xfId="0" applyFill="1" applyBorder="1"/>
    <xf numFmtId="0" fontId="0" fillId="8" borderId="2" xfId="0" applyFill="1" applyBorder="1" applyAlignment="1">
      <alignment horizontal="center"/>
    </xf>
    <xf numFmtId="0" fontId="0" fillId="8" borderId="13" xfId="0" applyFill="1" applyBorder="1" applyAlignment="1">
      <alignment horizontal="center"/>
    </xf>
    <xf numFmtId="0" fontId="0" fillId="7" borderId="5" xfId="0" applyFill="1" applyBorder="1" applyAlignment="1">
      <alignment horizontal="center"/>
    </xf>
    <xf numFmtId="0" fontId="0" fillId="7" borderId="7" xfId="0" applyFill="1" applyBorder="1" applyAlignment="1">
      <alignment horizontal="center"/>
    </xf>
    <xf numFmtId="164" fontId="0" fillId="0" borderId="9" xfId="0" applyNumberFormat="1" applyBorder="1" applyAlignment="1">
      <alignment horizontal="center"/>
    </xf>
    <xf numFmtId="164" fontId="0" fillId="0" borderId="12" xfId="0" applyNumberFormat="1" applyBorder="1" applyAlignment="1">
      <alignment horizontal="center"/>
    </xf>
    <xf numFmtId="0" fontId="0" fillId="2" borderId="14" xfId="0" applyFill="1" applyBorder="1"/>
    <xf numFmtId="0" fontId="0" fillId="7" borderId="3" xfId="0" applyFill="1" applyBorder="1" applyAlignment="1">
      <alignment horizontal="center"/>
    </xf>
    <xf numFmtId="0" fontId="0" fillId="7" borderId="6" xfId="0" applyFill="1" applyBorder="1" applyAlignment="1">
      <alignment horizontal="center"/>
    </xf>
    <xf numFmtId="164" fontId="0" fillId="0" borderId="10" xfId="0" applyNumberFormat="1" applyBorder="1" applyAlignment="1">
      <alignment horizontal="center"/>
    </xf>
    <xf numFmtId="0" fontId="0" fillId="10" borderId="7" xfId="0" applyFill="1" applyBorder="1" applyAlignment="1">
      <alignment horizontal="center"/>
    </xf>
    <xf numFmtId="1" fontId="0" fillId="0" borderId="7" xfId="0" applyNumberFormat="1" applyBorder="1" applyAlignment="1">
      <alignment horizontal="center"/>
    </xf>
    <xf numFmtId="164" fontId="0" fillId="0" borderId="7" xfId="0" applyNumberFormat="1" applyBorder="1" applyAlignment="1">
      <alignment horizontal="center"/>
    </xf>
    <xf numFmtId="164" fontId="0" fillId="0" borderId="57" xfId="0" applyNumberFormat="1" applyBorder="1" applyAlignment="1">
      <alignment horizontal="center"/>
    </xf>
    <xf numFmtId="164" fontId="0" fillId="0" borderId="58" xfId="0" applyNumberFormat="1" applyBorder="1" applyAlignment="1">
      <alignment horizontal="center"/>
    </xf>
    <xf numFmtId="164" fontId="0" fillId="2" borderId="23" xfId="0" applyNumberFormat="1" applyFill="1" applyBorder="1" applyAlignment="1">
      <alignment horizontal="center"/>
    </xf>
    <xf numFmtId="2" fontId="0" fillId="2" borderId="23" xfId="0" applyNumberFormat="1" applyFill="1" applyBorder="1" applyAlignment="1">
      <alignment horizontal="center"/>
    </xf>
    <xf numFmtId="0" fontId="0" fillId="2" borderId="23" xfId="0" applyFill="1" applyBorder="1" applyAlignment="1">
      <alignment horizontal="center"/>
    </xf>
    <xf numFmtId="164" fontId="0" fillId="0" borderId="59" xfId="0" applyNumberFormat="1" applyBorder="1" applyAlignment="1">
      <alignment horizontal="center"/>
    </xf>
    <xf numFmtId="2" fontId="0" fillId="0" borderId="58" xfId="0" applyNumberFormat="1" applyBorder="1" applyAlignment="1">
      <alignment horizontal="center"/>
    </xf>
    <xf numFmtId="2" fontId="0" fillId="0" borderId="59" xfId="0" applyNumberFormat="1" applyBorder="1" applyAlignment="1">
      <alignment horizontal="center"/>
    </xf>
    <xf numFmtId="0" fontId="0" fillId="0" borderId="32" xfId="0" applyBorder="1" applyAlignment="1">
      <alignment horizontal="center"/>
    </xf>
    <xf numFmtId="2" fontId="4" fillId="6" borderId="1" xfId="0" applyNumberFormat="1" applyFont="1" applyFill="1" applyBorder="1" applyAlignment="1">
      <alignment horizontal="center"/>
    </xf>
    <xf numFmtId="164" fontId="4" fillId="6" borderId="1" xfId="0" applyNumberFormat="1" applyFont="1" applyFill="1" applyBorder="1" applyAlignment="1">
      <alignment horizontal="center"/>
    </xf>
    <xf numFmtId="1" fontId="0" fillId="0" borderId="9" xfId="0" applyNumberFormat="1" applyBorder="1" applyAlignment="1">
      <alignment horizontal="center"/>
    </xf>
    <xf numFmtId="2" fontId="0" fillId="2" borderId="14" xfId="0" applyNumberFormat="1" applyFill="1" applyBorder="1" applyAlignment="1">
      <alignment horizontal="center"/>
    </xf>
    <xf numFmtId="2" fontId="0" fillId="2" borderId="14" xfId="0" applyNumberFormat="1" applyFill="1" applyBorder="1"/>
    <xf numFmtId="2" fontId="4" fillId="6" borderId="14" xfId="0" applyNumberFormat="1" applyFont="1" applyFill="1" applyBorder="1" applyAlignment="1">
      <alignment horizontal="center"/>
    </xf>
    <xf numFmtId="164" fontId="4" fillId="6" borderId="14" xfId="0" applyNumberFormat="1" applyFont="1" applyFill="1" applyBorder="1" applyAlignment="1">
      <alignment horizontal="center"/>
    </xf>
    <xf numFmtId="0" fontId="0" fillId="0" borderId="23" xfId="0" applyBorder="1" applyAlignment="1">
      <alignment horizontal="center"/>
    </xf>
    <xf numFmtId="164" fontId="0" fillId="2" borderId="6" xfId="0" applyNumberFormat="1" applyFill="1" applyBorder="1" applyAlignment="1">
      <alignment horizontal="center"/>
    </xf>
    <xf numFmtId="164" fontId="0" fillId="2" borderId="29" xfId="0" applyNumberFormat="1"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1" fontId="0" fillId="0" borderId="6" xfId="0" applyNumberFormat="1" applyBorder="1" applyAlignment="1">
      <alignment horizontal="center"/>
    </xf>
    <xf numFmtId="0" fontId="4" fillId="20" borderId="3" xfId="0" applyFont="1" applyFill="1" applyBorder="1" applyAlignment="1">
      <alignment horizontal="center"/>
    </xf>
    <xf numFmtId="0" fontId="4" fillId="20" borderId="51" xfId="0" applyFont="1" applyFill="1" applyBorder="1" applyAlignment="1">
      <alignment horizontal="center"/>
    </xf>
    <xf numFmtId="0" fontId="4" fillId="20" borderId="17" xfId="0" applyFont="1" applyFill="1" applyBorder="1" applyAlignment="1">
      <alignment horizontal="center"/>
    </xf>
    <xf numFmtId="0" fontId="4" fillId="20" borderId="28" xfId="0" applyFont="1" applyFill="1" applyBorder="1" applyAlignment="1">
      <alignment horizontal="center"/>
    </xf>
    <xf numFmtId="0" fontId="4" fillId="20" borderId="60" xfId="0" applyFont="1" applyFill="1" applyBorder="1" applyAlignment="1">
      <alignment horizontal="center"/>
    </xf>
    <xf numFmtId="0" fontId="4" fillId="20" borderId="61" xfId="0" applyFont="1" applyFill="1" applyBorder="1" applyAlignment="1">
      <alignment horizontal="center"/>
    </xf>
    <xf numFmtId="1" fontId="4" fillId="0" borderId="28" xfId="0" applyNumberFormat="1" applyFont="1" applyBorder="1" applyAlignment="1">
      <alignment horizontal="center"/>
    </xf>
    <xf numFmtId="164" fontId="4" fillId="0" borderId="60" xfId="0" applyNumberFormat="1" applyFont="1" applyBorder="1" applyAlignment="1">
      <alignment horizontal="center"/>
    </xf>
    <xf numFmtId="164" fontId="4" fillId="0" borderId="61" xfId="0" applyNumberFormat="1" applyFont="1" applyBorder="1" applyAlignment="1">
      <alignment horizontal="center"/>
    </xf>
    <xf numFmtId="164" fontId="4" fillId="6" borderId="28" xfId="0" applyNumberFormat="1" applyFont="1" applyFill="1" applyBorder="1" applyAlignment="1">
      <alignment horizontal="center"/>
    </xf>
    <xf numFmtId="164" fontId="4" fillId="6" borderId="62" xfId="0" applyNumberFormat="1" applyFont="1" applyFill="1" applyBorder="1" applyAlignment="1">
      <alignment horizontal="center"/>
    </xf>
    <xf numFmtId="164" fontId="4" fillId="0" borderId="63" xfId="0" applyNumberFormat="1" applyFont="1" applyBorder="1" applyAlignment="1">
      <alignment horizontal="center"/>
    </xf>
    <xf numFmtId="164" fontId="4" fillId="0" borderId="12" xfId="0" applyNumberFormat="1" applyFont="1" applyBorder="1" applyAlignment="1">
      <alignment horizontal="center"/>
    </xf>
    <xf numFmtId="0" fontId="0" fillId="8" borderId="15" xfId="0" applyFill="1" applyBorder="1" applyAlignment="1">
      <alignment horizontal="center"/>
    </xf>
    <xf numFmtId="0" fontId="0" fillId="8" borderId="65" xfId="0" applyFill="1" applyBorder="1" applyAlignment="1">
      <alignment horizontal="center"/>
    </xf>
    <xf numFmtId="0" fontId="12" fillId="0" borderId="0" xfId="0" applyFont="1"/>
    <xf numFmtId="0" fontId="11" fillId="0" borderId="0" xfId="0" applyFont="1"/>
    <xf numFmtId="0" fontId="6" fillId="0" borderId="11" xfId="0" applyFont="1" applyBorder="1"/>
    <xf numFmtId="2" fontId="0" fillId="2" borderId="66" xfId="0" applyNumberFormat="1" applyFill="1" applyBorder="1"/>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6" fillId="3" borderId="18" xfId="0" applyFont="1" applyFill="1" applyBorder="1" applyAlignment="1">
      <alignment horizontal="center"/>
    </xf>
    <xf numFmtId="0" fontId="6" fillId="3" borderId="19" xfId="0" applyFont="1" applyFill="1" applyBorder="1" applyAlignment="1">
      <alignment horizontal="center"/>
    </xf>
    <xf numFmtId="0" fontId="6" fillId="3" borderId="20" xfId="0" applyFont="1" applyFill="1" applyBorder="1" applyAlignment="1">
      <alignment horizontal="center"/>
    </xf>
    <xf numFmtId="0" fontId="0" fillId="8" borderId="53" xfId="0" applyFill="1" applyBorder="1" applyAlignment="1">
      <alignment horizontal="center"/>
    </xf>
    <xf numFmtId="0" fontId="0" fillId="8" borderId="54" xfId="0" applyFill="1" applyBorder="1" applyAlignment="1">
      <alignment horizontal="center"/>
    </xf>
    <xf numFmtId="0" fontId="0" fillId="8" borderId="55" xfId="0" applyFill="1" applyBorder="1" applyAlignment="1">
      <alignment horizontal="center"/>
    </xf>
    <xf numFmtId="0" fontId="7" fillId="10" borderId="13" xfId="0" applyFont="1" applyFill="1" applyBorder="1" applyAlignment="1">
      <alignment horizontal="center" vertical="center"/>
    </xf>
    <xf numFmtId="0" fontId="7" fillId="10" borderId="27" xfId="0" applyFont="1" applyFill="1" applyBorder="1" applyAlignment="1">
      <alignment horizontal="center" vertical="center"/>
    </xf>
    <xf numFmtId="0" fontId="7" fillId="10" borderId="31" xfId="0" applyFont="1" applyFill="1" applyBorder="1" applyAlignment="1">
      <alignment horizontal="center" vertical="center"/>
    </xf>
    <xf numFmtId="0" fontId="7" fillId="10" borderId="10" xfId="0" applyFont="1" applyFill="1" applyBorder="1" applyAlignment="1">
      <alignment horizontal="center" vertical="center"/>
    </xf>
    <xf numFmtId="0" fontId="7" fillId="10" borderId="11" xfId="0" applyFont="1" applyFill="1" applyBorder="1" applyAlignment="1">
      <alignment horizontal="center" vertical="center"/>
    </xf>
    <xf numFmtId="0" fontId="7" fillId="10" borderId="12" xfId="0" applyFont="1" applyFill="1" applyBorder="1" applyAlignment="1">
      <alignment horizontal="center" vertic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10" borderId="50" xfId="0" applyFill="1" applyBorder="1" applyAlignment="1">
      <alignment horizontal="center"/>
    </xf>
    <xf numFmtId="0" fontId="0" fillId="10" borderId="17" xfId="0" applyFill="1" applyBorder="1" applyAlignment="1">
      <alignment horizontal="center"/>
    </xf>
    <xf numFmtId="0" fontId="0" fillId="5" borderId="24" xfId="0" applyFill="1" applyBorder="1" applyAlignment="1">
      <alignment horizontal="center"/>
    </xf>
    <xf numFmtId="0" fontId="0" fillId="5" borderId="25" xfId="0" applyFill="1" applyBorder="1" applyAlignment="1">
      <alignment horizontal="center"/>
    </xf>
    <xf numFmtId="0" fontId="0" fillId="5" borderId="26" xfId="0" applyFill="1" applyBorder="1" applyAlignment="1">
      <alignment horizontal="center"/>
    </xf>
    <xf numFmtId="0" fontId="0" fillId="17" borderId="18" xfId="0" applyFill="1" applyBorder="1" applyAlignment="1">
      <alignment horizontal="center"/>
    </xf>
    <xf numFmtId="0" fontId="0" fillId="17" borderId="19" xfId="0" applyFill="1" applyBorder="1" applyAlignment="1">
      <alignment horizontal="center"/>
    </xf>
    <xf numFmtId="0" fontId="0" fillId="17" borderId="20" xfId="0" applyFill="1" applyBorder="1" applyAlignment="1">
      <alignment horizontal="center"/>
    </xf>
    <xf numFmtId="0" fontId="0" fillId="5" borderId="18" xfId="0" applyFill="1" applyBorder="1" applyAlignment="1">
      <alignment horizontal="center"/>
    </xf>
    <xf numFmtId="0" fontId="0" fillId="5" borderId="19" xfId="0" applyFill="1" applyBorder="1" applyAlignment="1">
      <alignment horizontal="center"/>
    </xf>
    <xf numFmtId="0" fontId="0" fillId="5" borderId="20"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3" borderId="1" xfId="0" applyFill="1" applyBorder="1" applyAlignment="1">
      <alignment horizontal="center"/>
    </xf>
    <xf numFmtId="0" fontId="0" fillId="3" borderId="7" xfId="0" applyFill="1" applyBorder="1" applyAlignment="1">
      <alignment horizontal="center"/>
    </xf>
    <xf numFmtId="0" fontId="0" fillId="0" borderId="0" xfId="0" applyAlignment="1">
      <alignment horizontal="left"/>
    </xf>
    <xf numFmtId="0" fontId="0" fillId="0" borderId="9" xfId="0" applyBorder="1" applyAlignment="1">
      <alignment horizontal="left"/>
    </xf>
    <xf numFmtId="0" fontId="0" fillId="3" borderId="13" xfId="0" applyFill="1" applyBorder="1" applyAlignment="1">
      <alignment horizontal="center"/>
    </xf>
    <xf numFmtId="0" fontId="0" fillId="3" borderId="27" xfId="0" applyFill="1" applyBorder="1" applyAlignment="1">
      <alignment horizontal="center"/>
    </xf>
    <xf numFmtId="0" fontId="0" fillId="3" borderId="31"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0" fillId="8" borderId="18" xfId="0" applyFill="1" applyBorder="1" applyAlignment="1">
      <alignment horizontal="center"/>
    </xf>
    <xf numFmtId="0" fontId="0" fillId="8" borderId="19" xfId="0" applyFill="1" applyBorder="1" applyAlignment="1">
      <alignment horizontal="center"/>
    </xf>
    <xf numFmtId="0" fontId="0" fillId="8" borderId="20" xfId="0" applyFill="1" applyBorder="1" applyAlignment="1">
      <alignment horizontal="center"/>
    </xf>
    <xf numFmtId="0" fontId="4" fillId="12" borderId="15" xfId="0" applyFont="1" applyFill="1" applyBorder="1" applyAlignment="1">
      <alignment horizontal="center"/>
    </xf>
    <xf numFmtId="0" fontId="4" fillId="12" borderId="16" xfId="0" applyFont="1" applyFill="1" applyBorder="1" applyAlignment="1">
      <alignment horizontal="center"/>
    </xf>
    <xf numFmtId="0" fontId="4" fillId="12" borderId="17" xfId="0" applyFont="1" applyFill="1" applyBorder="1" applyAlignment="1">
      <alignment horizontal="center"/>
    </xf>
    <xf numFmtId="0" fontId="0" fillId="18" borderId="18" xfId="0" applyFill="1" applyBorder="1" applyAlignment="1">
      <alignment horizontal="center"/>
    </xf>
    <xf numFmtId="0" fontId="0" fillId="18" borderId="19" xfId="0" applyFill="1" applyBorder="1" applyAlignment="1">
      <alignment horizontal="center"/>
    </xf>
    <xf numFmtId="0" fontId="0" fillId="18" borderId="20" xfId="0" applyFill="1" applyBorder="1" applyAlignment="1">
      <alignment horizontal="center"/>
    </xf>
    <xf numFmtId="0" fontId="4" fillId="20" borderId="18" xfId="0" applyFont="1" applyFill="1" applyBorder="1" applyAlignment="1">
      <alignment horizontal="center"/>
    </xf>
    <xf numFmtId="0" fontId="4" fillId="20" borderId="19" xfId="0" applyFont="1" applyFill="1" applyBorder="1" applyAlignment="1">
      <alignment horizontal="center"/>
    </xf>
    <xf numFmtId="0" fontId="4" fillId="20" borderId="64" xfId="0" applyFont="1" applyFill="1" applyBorder="1" applyAlignment="1">
      <alignment horizontal="center"/>
    </xf>
    <xf numFmtId="0" fontId="4" fillId="21" borderId="18" xfId="0" applyFont="1" applyFill="1" applyBorder="1" applyAlignment="1">
      <alignment horizontal="center"/>
    </xf>
    <xf numFmtId="0" fontId="4" fillId="21" borderId="19" xfId="0" applyFont="1" applyFill="1" applyBorder="1" applyAlignment="1">
      <alignment horizontal="center"/>
    </xf>
    <xf numFmtId="0" fontId="4" fillId="21" borderId="64" xfId="0" applyFont="1" applyFill="1" applyBorder="1" applyAlignment="1">
      <alignment horizontal="center"/>
    </xf>
    <xf numFmtId="0" fontId="0" fillId="19" borderId="18" xfId="0" applyFill="1" applyBorder="1" applyAlignment="1">
      <alignment horizontal="center"/>
    </xf>
    <xf numFmtId="0" fontId="0" fillId="19" borderId="19" xfId="0" applyFill="1" applyBorder="1" applyAlignment="1">
      <alignment horizontal="center"/>
    </xf>
    <xf numFmtId="0" fontId="0" fillId="19" borderId="20" xfId="0" applyFill="1" applyBorder="1" applyAlignment="1">
      <alignment horizontal="center"/>
    </xf>
    <xf numFmtId="0" fontId="0" fillId="16" borderId="13" xfId="0" applyFill="1" applyBorder="1" applyAlignment="1">
      <alignment horizontal="center"/>
    </xf>
    <xf numFmtId="0" fontId="0" fillId="16" borderId="27" xfId="0" applyFill="1" applyBorder="1" applyAlignment="1">
      <alignment horizontal="center"/>
    </xf>
    <xf numFmtId="0" fontId="0" fillId="16" borderId="31" xfId="0" applyFill="1" applyBorder="1" applyAlignment="1">
      <alignment horizontal="center"/>
    </xf>
    <xf numFmtId="0" fontId="0" fillId="5" borderId="23" xfId="0" applyFill="1" applyBorder="1" applyAlignment="1">
      <alignment horizontal="center"/>
    </xf>
    <xf numFmtId="0" fontId="0" fillId="5" borderId="1" xfId="0" applyFill="1" applyBorder="1" applyAlignment="1">
      <alignment horizontal="center"/>
    </xf>
    <xf numFmtId="0" fontId="0" fillId="5" borderId="2" xfId="0" applyFill="1" applyBorder="1" applyAlignment="1">
      <alignment horizontal="center"/>
    </xf>
    <xf numFmtId="0" fontId="0" fillId="4" borderId="6" xfId="0" applyFill="1" applyBorder="1" applyAlignment="1">
      <alignment horizontal="center"/>
    </xf>
    <xf numFmtId="0" fontId="0" fillId="4" borderId="1" xfId="0" applyFill="1" applyBorder="1" applyAlignment="1">
      <alignment horizontal="center"/>
    </xf>
    <xf numFmtId="0" fontId="0" fillId="4" borderId="7"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0" fillId="8" borderId="5" xfId="0" applyFill="1" applyBorder="1" applyAlignment="1">
      <alignment horizontal="center"/>
    </xf>
    <xf numFmtId="0" fontId="0" fillId="9" borderId="6" xfId="0" applyFill="1" applyBorder="1" applyAlignment="1">
      <alignment horizontal="center"/>
    </xf>
    <xf numFmtId="0" fontId="0" fillId="9" borderId="1" xfId="0" applyFill="1" applyBorder="1" applyAlignment="1">
      <alignment horizontal="center"/>
    </xf>
    <xf numFmtId="0" fontId="0" fillId="9" borderId="7" xfId="0" applyFill="1" applyBorder="1" applyAlignment="1">
      <alignment horizontal="center"/>
    </xf>
    <xf numFmtId="0" fontId="0" fillId="8" borderId="13" xfId="0" applyFill="1" applyBorder="1" applyAlignment="1">
      <alignment horizontal="center"/>
    </xf>
    <xf numFmtId="0" fontId="0" fillId="8" borderId="27" xfId="0" applyFill="1" applyBorder="1" applyAlignment="1">
      <alignment horizontal="center"/>
    </xf>
    <xf numFmtId="0" fontId="0" fillId="8" borderId="31" xfId="0" applyFill="1" applyBorder="1" applyAlignment="1">
      <alignment horizontal="center"/>
    </xf>
    <xf numFmtId="0" fontId="0" fillId="2" borderId="1" xfId="0" applyFill="1" applyBorder="1"/>
    <xf numFmtId="0" fontId="0" fillId="8" borderId="50" xfId="0" applyFill="1" applyBorder="1" applyAlignment="1">
      <alignment horizontal="center"/>
    </xf>
    <xf numFmtId="0" fontId="0" fillId="8" borderId="16" xfId="0" applyFill="1" applyBorder="1" applyAlignment="1">
      <alignment horizontal="center"/>
    </xf>
    <xf numFmtId="0" fontId="0" fillId="8" borderId="17" xfId="0" applyFill="1" applyBorder="1" applyAlignment="1">
      <alignment horizontal="center"/>
    </xf>
    <xf numFmtId="0" fontId="0" fillId="8" borderId="2" xfId="0" applyFill="1" applyBorder="1" applyAlignment="1">
      <alignment horizontal="center"/>
    </xf>
    <xf numFmtId="0" fontId="0" fillId="8" borderId="56" xfId="0" applyFill="1" applyBorder="1" applyAlignment="1">
      <alignment horizontal="center"/>
    </xf>
    <xf numFmtId="0" fontId="0" fillId="8" borderId="23" xfId="0" applyFill="1" applyBorder="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5" borderId="8" xfId="0" applyFill="1" applyBorder="1" applyAlignment="1">
      <alignment horizontal="center"/>
    </xf>
    <xf numFmtId="0" fontId="0" fillId="5" borderId="27" xfId="0" applyFill="1" applyBorder="1" applyAlignment="1">
      <alignment horizontal="center"/>
    </xf>
    <xf numFmtId="0" fontId="0" fillId="5" borderId="31" xfId="0" applyFill="1" applyBorder="1" applyAlignment="1">
      <alignment horizont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0" fillId="4" borderId="17" xfId="0" applyFill="1" applyBorder="1" applyAlignment="1">
      <alignment horizontal="center"/>
    </xf>
    <xf numFmtId="0" fontId="4" fillId="22" borderId="1" xfId="0" applyFont="1" applyFill="1" applyBorder="1" applyAlignment="1">
      <alignment horizontal="center"/>
    </xf>
    <xf numFmtId="2" fontId="4" fillId="6" borderId="23" xfId="0" applyNumberFormat="1" applyFont="1" applyFill="1" applyBorder="1"/>
    <xf numFmtId="0" fontId="4" fillId="21" borderId="1" xfId="0" applyFont="1" applyFill="1" applyBorder="1" applyAlignment="1">
      <alignment horizontal="center"/>
    </xf>
    <xf numFmtId="0" fontId="4" fillId="6" borderId="22" xfId="0" applyFont="1" applyFill="1" applyBorder="1" applyAlignment="1">
      <alignment horizontal="center"/>
    </xf>
    <xf numFmtId="0" fontId="4" fillId="6" borderId="60" xfId="0" applyFont="1" applyFill="1" applyBorder="1" applyAlignment="1">
      <alignment horizontal="center"/>
    </xf>
    <xf numFmtId="2" fontId="4" fillId="6" borderId="60" xfId="0" applyNumberFormat="1" applyFont="1" applyFill="1" applyBorder="1"/>
    <xf numFmtId="164" fontId="4" fillId="6" borderId="60" xfId="0" applyNumberFormat="1" applyFont="1" applyFill="1" applyBorder="1" applyAlignment="1">
      <alignment horizontal="center"/>
    </xf>
  </cellXfs>
  <cellStyles count="2">
    <cellStyle name="Normal" xfId="0" builtinId="0"/>
    <cellStyle name="Percent" xfId="1" builtinId="5"/>
  </cellStyles>
  <dxfs count="8">
    <dxf>
      <fill>
        <patternFill>
          <bgColor rgb="FFFFC000"/>
        </patternFill>
      </fill>
    </dxf>
    <dxf>
      <fill>
        <patternFill>
          <bgColor theme="0" tint="-4.9989318521683403E-2"/>
        </patternFill>
      </fill>
    </dxf>
    <dxf>
      <fill>
        <patternFill>
          <bgColor rgb="FFFFC000"/>
        </patternFill>
      </fill>
    </dxf>
    <dxf>
      <fill>
        <patternFill>
          <bgColor theme="0" tint="-4.9989318521683403E-2"/>
        </patternFill>
      </fill>
    </dxf>
    <dxf>
      <fill>
        <patternFill>
          <bgColor rgb="FFFFC000"/>
        </patternFill>
      </fill>
    </dxf>
    <dxf>
      <fill>
        <patternFill>
          <bgColor theme="0" tint="-4.9989318521683403E-2"/>
        </patternFill>
      </fill>
    </dxf>
    <dxf>
      <fill>
        <patternFill>
          <bgColor rgb="FFFFC000"/>
        </patternFill>
      </fill>
    </dxf>
    <dxf>
      <fill>
        <patternFill>
          <bgColor theme="0" tint="-4.9989318521683403E-2"/>
        </patternFill>
      </fill>
    </dxf>
  </dxfs>
  <tableStyles count="0" defaultTableStyle="TableStyleMedium2" defaultPivotStyle="PivotStyleLight16"/>
  <colors>
    <mruColors>
      <color rgb="FFFFB3C1"/>
      <color rgb="FFFFA5AC"/>
      <color rgb="FFFFAEB4"/>
      <color rgb="FFFFD3C6"/>
      <color rgb="FF961206"/>
      <color rgb="FFFF6B63"/>
      <color rgb="FFF8696B"/>
      <color rgb="FFFFF9D1"/>
      <color rgb="FF923B33"/>
      <color rgb="FF712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Alt-Az</a:t>
            </a:r>
            <a:r>
              <a:rPr lang="en-US" sz="1600" b="1" baseline="0"/>
              <a:t> position of targets at given UT</a:t>
            </a:r>
            <a:endParaRPr lang="en-US" sz="1600" b="1"/>
          </a:p>
        </c:rich>
      </c:tx>
      <c:layout>
        <c:manualLayout>
          <c:xMode val="edge"/>
          <c:yMode val="edge"/>
          <c:x val="0.32971336717109617"/>
          <c:y val="2.570987850190310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"Objects"</c:v>
          </c:tx>
          <c:spPr>
            <a:ln w="25400" cap="rnd">
              <a:noFill/>
              <a:round/>
            </a:ln>
            <a:effectLst/>
          </c:spPr>
          <c:marker>
            <c:symbol val="none"/>
          </c:marker>
          <c:dLbls>
            <c:dLbl>
              <c:idx val="0"/>
              <c:tx>
                <c:rich>
                  <a:bodyPr/>
                  <a:lstStyle/>
                  <a:p>
                    <a:fld id="{3DD74465-A86E-6B44-B954-62EB91B4814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5B8-2449-A00A-2115C2441CE3}"/>
                </c:ext>
              </c:extLst>
            </c:dLbl>
            <c:dLbl>
              <c:idx val="1"/>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2F98EFEB-2BD5-4D4F-B098-325FDC2E93AE}"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5B8-2449-A00A-2115C2441CE3}"/>
                </c:ext>
              </c:extLst>
            </c:dLbl>
            <c:dLbl>
              <c:idx val="2"/>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F69B482B-84C5-084C-918D-F6B9DD6E56C6}"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5B8-2449-A00A-2115C2441CE3}"/>
                </c:ext>
              </c:extLst>
            </c:dLbl>
            <c:dLbl>
              <c:idx val="3"/>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DF865CC0-7D7C-3B4B-8A99-BFAE8A10BBF5}" type="CELLRANGE">
                      <a:rPr lang="en-US"/>
                      <a:pPr>
                        <a:defRPr sz="1000" b="1">
                          <a:solidFill>
                            <a:srgbClr val="0070C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5B8-2449-A00A-2115C2441CE3}"/>
                </c:ext>
              </c:extLst>
            </c:dLbl>
            <c:dLbl>
              <c:idx val="4"/>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25B8-2449-A00A-2115C2441CE3}"/>
                </c:ext>
              </c:extLst>
            </c:dLbl>
            <c:dLbl>
              <c:idx val="5"/>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19CE5919-06CC-0646-9848-775563A3CC29}"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FBA-2547-A330-9935E4D2CAF5}"/>
                </c:ext>
              </c:extLst>
            </c:dLbl>
            <c:dLbl>
              <c:idx val="6"/>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56FA89A0-3886-B542-8CD1-13FBAC5E54E6}" type="CELLRANGE">
                      <a:rPr lang="en-US"/>
                      <a:pPr>
                        <a:defRPr sz="1000" b="1">
                          <a:solidFill>
                            <a:srgbClr val="0070C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FBA-2547-A330-9935E4D2CAF5}"/>
                </c:ext>
              </c:extLst>
            </c:dLbl>
            <c:dLbl>
              <c:idx val="7"/>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2C9FA8CD-A1BA-2A4B-ACC1-AF8B33B3AF32}" type="CELLRANGE">
                      <a:rPr lang="en-US"/>
                      <a:pPr>
                        <a:defRPr sz="1000" b="1">
                          <a:solidFill>
                            <a:srgbClr val="0070C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FBA-2547-A330-9935E4D2CAF5}"/>
                </c:ext>
              </c:extLst>
            </c:dLbl>
            <c:dLbl>
              <c:idx val="8"/>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8E3AD3D0-E47D-C041-9DC0-684B83F52A5D}" type="CELLRANGE">
                      <a:rPr lang="en-US"/>
                      <a:pPr>
                        <a:defRPr sz="1000" b="1">
                          <a:solidFill>
                            <a:srgbClr val="0070C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FBA-2547-A330-9935E4D2CAF5}"/>
                </c:ext>
              </c:extLst>
            </c:dLbl>
            <c:dLbl>
              <c:idx val="9"/>
              <c:tx>
                <c:rich>
                  <a:bodyPr/>
                  <a:lstStyle/>
                  <a:p>
                    <a:fld id="{C62CFF1A-A0C3-524B-B4C0-82C097AE4BC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FBA-2547-A330-9935E4D2CAF5}"/>
                </c:ext>
              </c:extLst>
            </c:dLbl>
            <c:dLbl>
              <c:idx val="10"/>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519A6E98-E9AE-2945-B7FB-6F9229E702B9}" type="CELLRANGE">
                      <a:rPr lang="en-US"/>
                      <a:pPr>
                        <a:defRPr sz="1000" b="1">
                          <a:solidFill>
                            <a:srgbClr val="0070C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FBA-2547-A330-9935E4D2CAF5}"/>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2FBA-2547-A330-9935E4D2CAF5}"/>
                </c:ext>
              </c:extLst>
            </c:dLbl>
            <c:dLbl>
              <c:idx val="12"/>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F843C99A-BD73-D248-962C-A8AE417299EA}"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FBA-2547-A330-9935E4D2CAF5}"/>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2FBA-2547-A330-9935E4D2CAF5}"/>
                </c:ext>
              </c:extLst>
            </c:dLbl>
            <c:dLbl>
              <c:idx val="14"/>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9734F06A-A90B-4F47-963F-1C4F0A71AE5F}" type="CELLRANGE">
                      <a:rPr lang="en-US"/>
                      <a:pPr>
                        <a:defRPr sz="1000" b="1">
                          <a:solidFill>
                            <a:srgbClr val="0070C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FBA-2547-A330-9935E4D2CAF5}"/>
                </c:ext>
              </c:extLst>
            </c:dLbl>
            <c:dLbl>
              <c:idx val="15"/>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2E088EE5-6B30-EB4F-800F-23477E58CF1E}"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FBA-2547-A330-9935E4D2CAF5}"/>
                </c:ext>
              </c:extLst>
            </c:dLbl>
            <c:dLbl>
              <c:idx val="16"/>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371C026D-440B-C745-BED0-3CFA3B71A0B5}"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FBA-2547-A330-9935E4D2CAF5}"/>
                </c:ext>
              </c:extLst>
            </c:dLbl>
            <c:dLbl>
              <c:idx val="17"/>
              <c:tx>
                <c:rich>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2FBA-2547-A330-9935E4D2CAF5}"/>
                </c:ext>
              </c:extLst>
            </c:dLbl>
            <c:dLbl>
              <c:idx val="18"/>
              <c:tx>
                <c:rich>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2FBA-2547-A330-9935E4D2CAF5}"/>
                </c:ext>
              </c:extLst>
            </c:dLbl>
            <c:dLbl>
              <c:idx val="19"/>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28A5E216-7166-1D42-B7B8-771B92A44BF5}" type="CELLRANGE">
                      <a:rPr lang="en-US"/>
                      <a:pPr>
                        <a:defRPr sz="1000" b="1">
                          <a:solidFill>
                            <a:srgbClr val="0070C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FBA-2547-A330-9935E4D2CAF5}"/>
                </c:ext>
              </c:extLst>
            </c:dLbl>
            <c:dLbl>
              <c:idx val="20"/>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220F204B-D526-C94F-BF0B-3D8C4DB7BD55}" type="CELLRANGE">
                      <a:rPr lang="en-US"/>
                      <a:pPr>
                        <a:defRPr sz="1000" b="1">
                          <a:solidFill>
                            <a:srgbClr val="0070C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FBA-2547-A330-9935E4D2CAF5}"/>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MODS!$AO$4:$AO$24</c:f>
              <c:numCache>
                <c:formatCode>0</c:formatCode>
                <c:ptCount val="21"/>
                <c:pt idx="0">
                  <c:v>262.43207214175902</c:v>
                </c:pt>
                <c:pt idx="1">
                  <c:v>43.009361633557425</c:v>
                </c:pt>
                <c:pt idx="2">
                  <c:v>33.472888025937635</c:v>
                </c:pt>
                <c:pt idx="3">
                  <c:v>25.195851970681979</c:v>
                </c:pt>
                <c:pt idx="4">
                  <c:v>#N/A</c:v>
                </c:pt>
                <c:pt idx="5">
                  <c:v>39.920874426965717</c:v>
                </c:pt>
                <c:pt idx="6">
                  <c:v>52.522896194806499</c:v>
                </c:pt>
                <c:pt idx="7">
                  <c:v>185.75310054372775</c:v>
                </c:pt>
                <c:pt idx="8">
                  <c:v>77.320194384203319</c:v>
                </c:pt>
                <c:pt idx="9">
                  <c:v>9.6159617068012633</c:v>
                </c:pt>
                <c:pt idx="10">
                  <c:v>100.25429582711207</c:v>
                </c:pt>
                <c:pt idx="11">
                  <c:v>#N/A</c:v>
                </c:pt>
                <c:pt idx="12">
                  <c:v>62.22228875005171</c:v>
                </c:pt>
                <c:pt idx="13">
                  <c:v>#N/A</c:v>
                </c:pt>
                <c:pt idx="14">
                  <c:v>37.171064455992664</c:v>
                </c:pt>
                <c:pt idx="15">
                  <c:v>20.554460415669549</c:v>
                </c:pt>
                <c:pt idx="16">
                  <c:v>40.130012237211055</c:v>
                </c:pt>
                <c:pt idx="17">
                  <c:v>#N/A</c:v>
                </c:pt>
                <c:pt idx="18">
                  <c:v>#N/A</c:v>
                </c:pt>
                <c:pt idx="19">
                  <c:v>18.150562935656453</c:v>
                </c:pt>
                <c:pt idx="20">
                  <c:v>355.51859000765256</c:v>
                </c:pt>
              </c:numCache>
            </c:numRef>
          </c:xVal>
          <c:yVal>
            <c:numRef>
              <c:f>MODS!$AE$4:$AE$24</c:f>
              <c:numCache>
                <c:formatCode>0</c:formatCode>
                <c:ptCount val="21"/>
                <c:pt idx="0">
                  <c:v>-14.80679400226955</c:v>
                </c:pt>
                <c:pt idx="1">
                  <c:v>-4.4876354410315882</c:v>
                </c:pt>
                <c:pt idx="2">
                  <c:v>20.527637887143513</c:v>
                </c:pt>
                <c:pt idx="3">
                  <c:v>-14.732802692650987</c:v>
                </c:pt>
                <c:pt idx="4">
                  <c:v>#N/A</c:v>
                </c:pt>
                <c:pt idx="5">
                  <c:v>-25.907500358015742</c:v>
                </c:pt>
                <c:pt idx="6">
                  <c:v>-13.221735895225329</c:v>
                </c:pt>
                <c:pt idx="7">
                  <c:v>50.360619199693645</c:v>
                </c:pt>
                <c:pt idx="8">
                  <c:v>1.3175711579851976</c:v>
                </c:pt>
                <c:pt idx="9">
                  <c:v>69.488781887466416</c:v>
                </c:pt>
                <c:pt idx="10">
                  <c:v>41.992318258227286</c:v>
                </c:pt>
                <c:pt idx="11">
                  <c:v>#N/A</c:v>
                </c:pt>
                <c:pt idx="12">
                  <c:v>45.763441447038453</c:v>
                </c:pt>
                <c:pt idx="13">
                  <c:v>#N/A</c:v>
                </c:pt>
                <c:pt idx="14">
                  <c:v>18.0095629042826</c:v>
                </c:pt>
                <c:pt idx="15">
                  <c:v>23.367340915101316</c:v>
                </c:pt>
                <c:pt idx="16">
                  <c:v>-1.2618272654095537</c:v>
                </c:pt>
                <c:pt idx="17">
                  <c:v>#N/A</c:v>
                </c:pt>
                <c:pt idx="18">
                  <c:v>#N/A</c:v>
                </c:pt>
                <c:pt idx="19">
                  <c:v>3.7291320459990223</c:v>
                </c:pt>
                <c:pt idx="20">
                  <c:v>13.039133396713426</c:v>
                </c:pt>
              </c:numCache>
            </c:numRef>
          </c:yVal>
          <c:smooth val="0"/>
          <c:extLst>
            <c:ext xmlns:c15="http://schemas.microsoft.com/office/drawing/2012/chart" uri="{02D57815-91ED-43cb-92C2-25804820EDAC}">
              <c15:datalabelsRange>
                <c15:f>MODS!$W$4:$W$24</c15:f>
                <c15:dlblRangeCache>
                  <c:ptCount val="21"/>
                  <c:pt idx="0">
                    <c:v>Moon</c:v>
                  </c:pt>
                  <c:pt idx="1">
                    <c:v>XMD Mrk59</c:v>
                  </c:pt>
                  <c:pt idx="2">
                    <c:v>SBS1135</c:v>
                  </c:pt>
                  <c:pt idx="3">
                    <c:v>SBS1437</c:v>
                  </c:pt>
                  <c:pt idx="5">
                    <c:v>SDSS1411</c:v>
                  </c:pt>
                  <c:pt idx="6">
                    <c:v>gd153</c:v>
                  </c:pt>
                  <c:pt idx="7">
                    <c:v>SCAT-2024pjl</c:v>
                  </c:pt>
                  <c:pt idx="8">
                    <c:v>SCAT-2024inv</c:v>
                  </c:pt>
                  <c:pt idx="9">
                    <c:v>g191b2b</c:v>
                  </c:pt>
                  <c:pt idx="10">
                    <c:v>U4115-dw2</c:v>
                  </c:pt>
                  <c:pt idx="11">
                    <c:v>U4115-dw1</c:v>
                  </c:pt>
                  <c:pt idx="12">
                    <c:v>U4426-dw1</c:v>
                  </c:pt>
                  <c:pt idx="13">
                    <c:v>N3738-dw7</c:v>
                  </c:pt>
                  <c:pt idx="14">
                    <c:v>N3738-dw10</c:v>
                  </c:pt>
                  <c:pt idx="15">
                    <c:v>N4236-dw13</c:v>
                  </c:pt>
                  <c:pt idx="16">
                    <c:v>I4182-dw13</c:v>
                  </c:pt>
                  <c:pt idx="17">
                    <c:v>N4861-dw5</c:v>
                  </c:pt>
                  <c:pt idx="18">
                    <c:v>N5204-dw3</c:v>
                  </c:pt>
                  <c:pt idx="19">
                    <c:v>N5585-dw11</c:v>
                  </c:pt>
                  <c:pt idx="20">
                    <c:v>N6503-dw6</c:v>
                  </c:pt>
                </c15:dlblRangeCache>
              </c15:datalabelsRange>
            </c:ext>
            <c:ext xmlns:c16="http://schemas.microsoft.com/office/drawing/2014/chart" uri="{C3380CC4-5D6E-409C-BE32-E72D297353CC}">
              <c16:uniqueId val="{00000000-25B8-2449-A00A-2115C2441CE3}"/>
            </c:ext>
          </c:extLst>
        </c:ser>
        <c:ser>
          <c:idx val="1"/>
          <c:order val="1"/>
          <c:tx>
            <c:v>"elevation limit"</c:v>
          </c:tx>
          <c:spPr>
            <a:ln w="15875"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Calcs!$N$30:$N$31</c:f>
              <c:numCache>
                <c:formatCode>General</c:formatCode>
                <c:ptCount val="2"/>
                <c:pt idx="0">
                  <c:v>30</c:v>
                </c:pt>
                <c:pt idx="1">
                  <c:v>30</c:v>
                </c:pt>
              </c:numCache>
            </c:numRef>
          </c:yVal>
          <c:smooth val="0"/>
          <c:extLst>
            <c:ext xmlns:c16="http://schemas.microsoft.com/office/drawing/2014/chart" uri="{C3380CC4-5D6E-409C-BE32-E72D297353CC}">
              <c16:uniqueId val="{00000006-25B8-2449-A00A-2115C2441CE3}"/>
            </c:ext>
          </c:extLst>
        </c:ser>
        <c:ser>
          <c:idx val="2"/>
          <c:order val="2"/>
          <c:tx>
            <c:v>"Zenith Limit"</c:v>
          </c:tx>
          <c:spPr>
            <a:ln w="15875"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Calcs!$O$30:$O$31</c:f>
              <c:numCache>
                <c:formatCode>General</c:formatCode>
                <c:ptCount val="2"/>
                <c:pt idx="0">
                  <c:v>86</c:v>
                </c:pt>
                <c:pt idx="1">
                  <c:v>86</c:v>
                </c:pt>
              </c:numCache>
            </c:numRef>
          </c:yVal>
          <c:smooth val="0"/>
          <c:extLst>
            <c:ext xmlns:c16="http://schemas.microsoft.com/office/drawing/2014/chart" uri="{C3380CC4-5D6E-409C-BE32-E72D297353CC}">
              <c16:uniqueId val="{00000007-25B8-2449-A00A-2115C2441CE3}"/>
            </c:ext>
          </c:extLst>
        </c:ser>
        <c:ser>
          <c:idx val="3"/>
          <c:order val="3"/>
          <c:tx>
            <c:v>"Meridian"</c:v>
          </c:tx>
          <c:spPr>
            <a:ln w="12700" cap="rnd">
              <a:solidFill>
                <a:schemeClr val="bg1">
                  <a:lumMod val="50000"/>
                </a:schemeClr>
              </a:solidFill>
              <a:prstDash val="dash"/>
              <a:round/>
            </a:ln>
            <a:effectLst/>
          </c:spPr>
          <c:marker>
            <c:symbol val="none"/>
          </c:marker>
          <c:dPt>
            <c:idx val="1"/>
            <c:marker>
              <c:symbol val="none"/>
            </c:marker>
            <c:bubble3D val="0"/>
            <c:spPr>
              <a:ln w="15875" cap="rnd">
                <a:solidFill>
                  <a:srgbClr val="FF0000"/>
                </a:solidFill>
                <a:prstDash val="dash"/>
                <a:round/>
              </a:ln>
              <a:effectLst/>
            </c:spPr>
            <c:extLst>
              <c:ext xmlns:c16="http://schemas.microsoft.com/office/drawing/2014/chart" uri="{C3380CC4-5D6E-409C-BE32-E72D297353CC}">
                <c16:uniqueId val="{00000017-9C8F-A24F-ADB9-B2C700186EEA}"/>
              </c:ext>
            </c:extLst>
          </c:dPt>
          <c:xVal>
            <c:numRef>
              <c:f>Calcs!$M$32:$M$33</c:f>
              <c:numCache>
                <c:formatCode>General</c:formatCode>
                <c:ptCount val="2"/>
                <c:pt idx="0">
                  <c:v>180</c:v>
                </c:pt>
                <c:pt idx="1">
                  <c:v>180</c:v>
                </c:pt>
              </c:numCache>
            </c:numRef>
          </c:xVal>
          <c:yVal>
            <c:numRef>
              <c:f>Calcs!$N$32:$N$33</c:f>
              <c:numCache>
                <c:formatCode>General</c:formatCode>
                <c:ptCount val="2"/>
                <c:pt idx="0">
                  <c:v>0</c:v>
                </c:pt>
                <c:pt idx="1">
                  <c:v>90</c:v>
                </c:pt>
              </c:numCache>
            </c:numRef>
          </c:yVal>
          <c:smooth val="0"/>
          <c:extLst>
            <c:ext xmlns:c16="http://schemas.microsoft.com/office/drawing/2014/chart" uri="{C3380CC4-5D6E-409C-BE32-E72D297353CC}">
              <c16:uniqueId val="{00000008-25B8-2449-A00A-2115C2441CE3}"/>
            </c:ext>
          </c:extLst>
        </c:ser>
        <c:ser>
          <c:idx val="4"/>
          <c:order val="4"/>
          <c:tx>
            <c:v>"Dec -20"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Calcs!$Y$31:$Y$43</c:f>
              <c:numCache>
                <c:formatCode>0</c:formatCode>
                <c:ptCount val="13"/>
                <c:pt idx="0">
                  <c:v>107.02903424436295</c:v>
                </c:pt>
                <c:pt idx="1">
                  <c:v>114.78968379951743</c:v>
                </c:pt>
                <c:pt idx="2">
                  <c:v>123.64675150493228</c:v>
                </c:pt>
                <c:pt idx="3">
                  <c:v>134.22752195987701</c:v>
                </c:pt>
                <c:pt idx="4">
                  <c:v>147.14269848289527</c:v>
                </c:pt>
                <c:pt idx="5">
                  <c:v>162.6439270283274</c:v>
                </c:pt>
                <c:pt idx="6">
                  <c:v>180</c:v>
                </c:pt>
                <c:pt idx="7">
                  <c:v>197.3560729716726</c:v>
                </c:pt>
                <c:pt idx="8">
                  <c:v>212.85730151710473</c:v>
                </c:pt>
                <c:pt idx="9">
                  <c:v>225.77247804012299</c:v>
                </c:pt>
                <c:pt idx="10">
                  <c:v>236.3532484950677</c:v>
                </c:pt>
                <c:pt idx="11">
                  <c:v>245.21031620048257</c:v>
                </c:pt>
                <c:pt idx="12">
                  <c:v>252.97096575563705</c:v>
                </c:pt>
              </c:numCache>
            </c:numRef>
          </c:xVal>
          <c:yVal>
            <c:numRef>
              <c:f>Calcs!$Z$31:$Z$43</c:f>
              <c:numCache>
                <c:formatCode>0</c:formatCode>
                <c:ptCount val="13"/>
                <c:pt idx="0">
                  <c:v>-10.647902283000841</c:v>
                </c:pt>
                <c:pt idx="1">
                  <c:v>1.1397487980177132</c:v>
                </c:pt>
                <c:pt idx="2">
                  <c:v>12.157965287544533</c:v>
                </c:pt>
                <c:pt idx="3">
                  <c:v>21.985981395600813</c:v>
                </c:pt>
                <c:pt idx="4">
                  <c:v>30.003073243340051</c:v>
                </c:pt>
                <c:pt idx="5">
                  <c:v>35.383320664520298</c:v>
                </c:pt>
                <c:pt idx="6">
                  <c:v>37.300000000000011</c:v>
                </c:pt>
                <c:pt idx="7">
                  <c:v>35.383320664520298</c:v>
                </c:pt>
                <c:pt idx="8">
                  <c:v>30.003073243340051</c:v>
                </c:pt>
                <c:pt idx="9">
                  <c:v>21.985981395600813</c:v>
                </c:pt>
                <c:pt idx="10">
                  <c:v>12.157965287544533</c:v>
                </c:pt>
                <c:pt idx="11">
                  <c:v>1.1397487980177132</c:v>
                </c:pt>
                <c:pt idx="12">
                  <c:v>-10.647902283000841</c:v>
                </c:pt>
              </c:numCache>
            </c:numRef>
          </c:yVal>
          <c:smooth val="0"/>
          <c:extLst>
            <c:ext xmlns:c16="http://schemas.microsoft.com/office/drawing/2014/chart" uri="{C3380CC4-5D6E-409C-BE32-E72D297353CC}">
              <c16:uniqueId val="{00000009-25B8-2449-A00A-2115C2441CE3}"/>
            </c:ext>
          </c:extLst>
        </c:ser>
        <c:ser>
          <c:idx val="5"/>
          <c:order val="5"/>
          <c:tx>
            <c:v>"Dec 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Calcs!$AA$31:$AA$43</c:f>
              <c:numCache>
                <c:formatCode>0</c:formatCode>
                <c:ptCount val="13"/>
                <c:pt idx="0">
                  <c:v>90</c:v>
                </c:pt>
                <c:pt idx="1">
                  <c:v>98.236748204702977</c:v>
                </c:pt>
                <c:pt idx="2">
                  <c:v>107.32311253128316</c:v>
                </c:pt>
                <c:pt idx="3">
                  <c:v>118.37970591360207</c:v>
                </c:pt>
                <c:pt idx="4">
                  <c:v>133.09817430910678</c:v>
                </c:pt>
                <c:pt idx="5">
                  <c:v>153.61944023636568</c:v>
                </c:pt>
                <c:pt idx="6">
                  <c:v>180</c:v>
                </c:pt>
                <c:pt idx="7">
                  <c:v>206.38055976363432</c:v>
                </c:pt>
                <c:pt idx="8">
                  <c:v>226.90182569089322</c:v>
                </c:pt>
                <c:pt idx="9">
                  <c:v>241.62029408639793</c:v>
                </c:pt>
                <c:pt idx="10">
                  <c:v>252.67688746871684</c:v>
                </c:pt>
                <c:pt idx="11">
                  <c:v>261.76325179529704</c:v>
                </c:pt>
                <c:pt idx="12">
                  <c:v>270</c:v>
                </c:pt>
              </c:numCache>
            </c:numRef>
          </c:xVal>
          <c:yVal>
            <c:numRef>
              <c:f>Calcs!$AB$31:$AB$43</c:f>
              <c:numCache>
                <c:formatCode>0</c:formatCode>
                <c:ptCount val="13"/>
                <c:pt idx="0">
                  <c:v>2.9535276312798145E-15</c:v>
                </c:pt>
                <c:pt idx="1">
                  <c:v>12.579791486979417</c:v>
                </c:pt>
                <c:pt idx="2">
                  <c:v>24.882287665203343</c:v>
                </c:pt>
                <c:pt idx="3">
                  <c:v>36.515339679802814</c:v>
                </c:pt>
                <c:pt idx="4">
                  <c:v>46.78335381826129</c:v>
                </c:pt>
                <c:pt idx="5">
                  <c:v>54.374047122650516</c:v>
                </c:pt>
                <c:pt idx="6">
                  <c:v>57.3</c:v>
                </c:pt>
                <c:pt idx="7">
                  <c:v>54.374047122650516</c:v>
                </c:pt>
                <c:pt idx="8">
                  <c:v>46.78335381826129</c:v>
                </c:pt>
                <c:pt idx="9">
                  <c:v>36.515339679802814</c:v>
                </c:pt>
                <c:pt idx="10">
                  <c:v>24.882287665203343</c:v>
                </c:pt>
                <c:pt idx="11">
                  <c:v>12.579791486979417</c:v>
                </c:pt>
                <c:pt idx="12">
                  <c:v>2.9535276312798145E-15</c:v>
                </c:pt>
              </c:numCache>
            </c:numRef>
          </c:yVal>
          <c:smooth val="0"/>
          <c:extLst>
            <c:ext xmlns:c16="http://schemas.microsoft.com/office/drawing/2014/chart" uri="{C3380CC4-5D6E-409C-BE32-E72D297353CC}">
              <c16:uniqueId val="{0000000A-25B8-2449-A00A-2115C2441CE3}"/>
            </c:ext>
          </c:extLst>
        </c:ser>
        <c:ser>
          <c:idx val="6"/>
          <c:order val="6"/>
          <c:tx>
            <c:v>"Dec 20"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Calcs!$AC$31:$AC$43</c:f>
              <c:numCache>
                <c:formatCode>0</c:formatCode>
                <c:ptCount val="13"/>
                <c:pt idx="0">
                  <c:v>72.970965755637053</c:v>
                </c:pt>
                <c:pt idx="1">
                  <c:v>80.222117465539853</c:v>
                </c:pt>
                <c:pt idx="2">
                  <c:v>87.608750982038728</c:v>
                </c:pt>
                <c:pt idx="3">
                  <c:v>96.112401476938246</c:v>
                </c:pt>
                <c:pt idx="4">
                  <c:v>107.90844260304503</c:v>
                </c:pt>
                <c:pt idx="5">
                  <c:v>129.78788530765956</c:v>
                </c:pt>
                <c:pt idx="6">
                  <c:v>180</c:v>
                </c:pt>
                <c:pt idx="7">
                  <c:v>230.21211469234044</c:v>
                </c:pt>
                <c:pt idx="8">
                  <c:v>252.09155739695495</c:v>
                </c:pt>
                <c:pt idx="9">
                  <c:v>263.88759852306174</c:v>
                </c:pt>
                <c:pt idx="10">
                  <c:v>272.39124901796129</c:v>
                </c:pt>
                <c:pt idx="11">
                  <c:v>279.77788253446016</c:v>
                </c:pt>
                <c:pt idx="12">
                  <c:v>287.02903424436295</c:v>
                </c:pt>
              </c:numCache>
            </c:numRef>
          </c:xVal>
          <c:yVal>
            <c:numRef>
              <c:f>Calcs!$AD$31:$AD$43</c:f>
              <c:numCache>
                <c:formatCode>0</c:formatCode>
                <c:ptCount val="13"/>
                <c:pt idx="0">
                  <c:v>10.647902283000848</c:v>
                </c:pt>
                <c:pt idx="1">
                  <c:v>22.919484936535</c:v>
                </c:pt>
                <c:pt idx="2">
                  <c:v>35.461361393613451</c:v>
                </c:pt>
                <c:pt idx="3">
                  <c:v>48.066922167281085</c:v>
                </c:pt>
                <c:pt idx="4">
                  <c:v>60.411330879740305</c:v>
                </c:pt>
                <c:pt idx="5">
                  <c:v>71.548154461504794</c:v>
                </c:pt>
                <c:pt idx="6">
                  <c:v>77.3</c:v>
                </c:pt>
                <c:pt idx="7">
                  <c:v>71.548154461504794</c:v>
                </c:pt>
                <c:pt idx="8">
                  <c:v>60.411330879740305</c:v>
                </c:pt>
                <c:pt idx="9">
                  <c:v>48.066922167281085</c:v>
                </c:pt>
                <c:pt idx="10">
                  <c:v>35.461361393613451</c:v>
                </c:pt>
                <c:pt idx="11">
                  <c:v>22.919484936535</c:v>
                </c:pt>
                <c:pt idx="12">
                  <c:v>10.647902283000848</c:v>
                </c:pt>
              </c:numCache>
            </c:numRef>
          </c:yVal>
          <c:smooth val="0"/>
          <c:extLst>
            <c:ext xmlns:c16="http://schemas.microsoft.com/office/drawing/2014/chart" uri="{C3380CC4-5D6E-409C-BE32-E72D297353CC}">
              <c16:uniqueId val="{0000000B-25B8-2449-A00A-2115C2441CE3}"/>
            </c:ext>
          </c:extLst>
        </c:ser>
        <c:ser>
          <c:idx val="7"/>
          <c:order val="7"/>
          <c:tx>
            <c:v>Dec 40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Calcs!$AE$31:$AE$37</c:f>
              <c:numCache>
                <c:formatCode>0</c:formatCode>
                <c:ptCount val="7"/>
                <c:pt idx="0">
                  <c:v>54.773649427199068</c:v>
                </c:pt>
                <c:pt idx="1">
                  <c:v>59.618467093394699</c:v>
                </c:pt>
                <c:pt idx="2">
                  <c:v>63.277519715569262</c:v>
                </c:pt>
                <c:pt idx="3">
                  <c:v>65.375552352537142</c:v>
                </c:pt>
                <c:pt idx="4">
                  <c:v>64.522242830245119</c:v>
                </c:pt>
                <c:pt idx="5">
                  <c:v>54.549112084780688</c:v>
                </c:pt>
                <c:pt idx="6">
                  <c:v>0</c:v>
                </c:pt>
              </c:numCache>
            </c:numRef>
          </c:xVal>
          <c:yVal>
            <c:numRef>
              <c:f>Calcs!$AF$31:$AF$37</c:f>
              <c:numCache>
                <c:formatCode>0</c:formatCode>
                <c:ptCount val="7"/>
                <c:pt idx="0">
                  <c:v>20.319802581796932</c:v>
                </c:pt>
                <c:pt idx="1">
                  <c:v>30.93755122000206</c:v>
                </c:pt>
                <c:pt idx="2">
                  <c:v>42.034434601207053</c:v>
                </c:pt>
                <c:pt idx="3">
                  <c:v>53.425747279019312</c:v>
                </c:pt>
                <c:pt idx="4">
                  <c:v>64.894729558190605</c:v>
                </c:pt>
                <c:pt idx="5">
                  <c:v>75.913420070000157</c:v>
                </c:pt>
                <c:pt idx="6">
                  <c:v>82.699999999999974</c:v>
                </c:pt>
              </c:numCache>
            </c:numRef>
          </c:yVal>
          <c:smooth val="0"/>
          <c:extLst>
            <c:ext xmlns:c16="http://schemas.microsoft.com/office/drawing/2014/chart" uri="{C3380CC4-5D6E-409C-BE32-E72D297353CC}">
              <c16:uniqueId val="{0000000C-25B8-2449-A00A-2115C2441CE3}"/>
            </c:ext>
          </c:extLst>
        </c:ser>
        <c:ser>
          <c:idx val="10"/>
          <c:order val="8"/>
          <c:tx>
            <c:v>"Dec 40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Calcs!$AE$38:$AE$44</c:f>
              <c:numCache>
                <c:formatCode>0</c:formatCode>
                <c:ptCount val="7"/>
                <c:pt idx="0">
                  <c:v>305.22635057280092</c:v>
                </c:pt>
                <c:pt idx="1">
                  <c:v>300.38153290660529</c:v>
                </c:pt>
                <c:pt idx="2">
                  <c:v>296.72248028443073</c:v>
                </c:pt>
                <c:pt idx="3">
                  <c:v>294.62444764746283</c:v>
                </c:pt>
                <c:pt idx="4">
                  <c:v>295.47775716975491</c:v>
                </c:pt>
                <c:pt idx="5">
                  <c:v>305.45088791521931</c:v>
                </c:pt>
                <c:pt idx="6">
                  <c:v>360</c:v>
                </c:pt>
              </c:numCache>
            </c:numRef>
          </c:xVal>
          <c:yVal>
            <c:numRef>
              <c:f>Calcs!$AF$38:$AF$44</c:f>
              <c:numCache>
                <c:formatCode>0</c:formatCode>
                <c:ptCount val="7"/>
                <c:pt idx="0">
                  <c:v>20.319802581796932</c:v>
                </c:pt>
                <c:pt idx="1">
                  <c:v>30.93755122000206</c:v>
                </c:pt>
                <c:pt idx="2">
                  <c:v>42.034434601207053</c:v>
                </c:pt>
                <c:pt idx="3">
                  <c:v>53.425747279019312</c:v>
                </c:pt>
                <c:pt idx="4">
                  <c:v>64.894729558190605</c:v>
                </c:pt>
                <c:pt idx="5">
                  <c:v>75.913420070000157</c:v>
                </c:pt>
                <c:pt idx="6">
                  <c:v>82.699999999999974</c:v>
                </c:pt>
              </c:numCache>
            </c:numRef>
          </c:yVal>
          <c:smooth val="0"/>
          <c:extLst>
            <c:ext xmlns:c16="http://schemas.microsoft.com/office/drawing/2014/chart" uri="{C3380CC4-5D6E-409C-BE32-E72D297353CC}">
              <c16:uniqueId val="{0000000F-25B8-2449-A00A-2115C2441CE3}"/>
            </c:ext>
          </c:extLst>
        </c:ser>
        <c:ser>
          <c:idx val="8"/>
          <c:order val="9"/>
          <c:tx>
            <c:v>"Dec 60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Calcs!$AG$31:$AG$37</c:f>
              <c:numCache>
                <c:formatCode>0</c:formatCode>
                <c:ptCount val="7"/>
                <c:pt idx="0">
                  <c:v>34.453542564623511</c:v>
                </c:pt>
                <c:pt idx="1">
                  <c:v>36.242569325632047</c:v>
                </c:pt>
                <c:pt idx="2">
                  <c:v>36.104547906981949</c:v>
                </c:pt>
                <c:pt idx="3">
                  <c:v>33.322859188499407</c:v>
                </c:pt>
                <c:pt idx="4">
                  <c:v>26.803591925178001</c:v>
                </c:pt>
                <c:pt idx="5">
                  <c:v>15.46158026525119</c:v>
                </c:pt>
                <c:pt idx="6">
                  <c:v>0</c:v>
                </c:pt>
              </c:numCache>
            </c:numRef>
          </c:xVal>
          <c:yVal>
            <c:numRef>
              <c:f>Calcs!$AH$31:$AH$37</c:f>
              <c:numCache>
                <c:formatCode>0</c:formatCode>
                <c:ptCount val="7"/>
                <c:pt idx="0">
                  <c:v>27.895593331044331</c:v>
                </c:pt>
                <c:pt idx="1">
                  <c:v>35.223074169307544</c:v>
                </c:pt>
                <c:pt idx="2">
                  <c:v>42.706226966718809</c:v>
                </c:pt>
                <c:pt idx="3">
                  <c:v>49.940884409088838</c:v>
                </c:pt>
                <c:pt idx="4">
                  <c:v>56.330224788620711</c:v>
                </c:pt>
                <c:pt idx="5">
                  <c:v>60.959918239616378</c:v>
                </c:pt>
                <c:pt idx="6">
                  <c:v>62.7</c:v>
                </c:pt>
              </c:numCache>
            </c:numRef>
          </c:yVal>
          <c:smooth val="0"/>
          <c:extLst>
            <c:ext xmlns:c16="http://schemas.microsoft.com/office/drawing/2014/chart" uri="{C3380CC4-5D6E-409C-BE32-E72D297353CC}">
              <c16:uniqueId val="{0000000D-25B8-2449-A00A-2115C2441CE3}"/>
            </c:ext>
          </c:extLst>
        </c:ser>
        <c:ser>
          <c:idx val="11"/>
          <c:order val="10"/>
          <c:tx>
            <c:v>"Dec 60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Calcs!$AG$38:$AG$44</c:f>
              <c:numCache>
                <c:formatCode>0</c:formatCode>
                <c:ptCount val="7"/>
                <c:pt idx="0">
                  <c:v>325.54645743537651</c:v>
                </c:pt>
                <c:pt idx="1">
                  <c:v>323.75743067436792</c:v>
                </c:pt>
                <c:pt idx="2">
                  <c:v>323.89545209301804</c:v>
                </c:pt>
                <c:pt idx="3">
                  <c:v>326.67714081150058</c:v>
                </c:pt>
                <c:pt idx="4">
                  <c:v>333.19640807482199</c:v>
                </c:pt>
                <c:pt idx="5">
                  <c:v>344.5384197347488</c:v>
                </c:pt>
                <c:pt idx="6" formatCode="General">
                  <c:v>360</c:v>
                </c:pt>
              </c:numCache>
            </c:numRef>
          </c:xVal>
          <c:yVal>
            <c:numRef>
              <c:f>Calcs!$AH$38:$AH$44</c:f>
              <c:numCache>
                <c:formatCode>0</c:formatCode>
                <c:ptCount val="7"/>
                <c:pt idx="0">
                  <c:v>27.895593331044331</c:v>
                </c:pt>
                <c:pt idx="1">
                  <c:v>35.223074169307544</c:v>
                </c:pt>
                <c:pt idx="2">
                  <c:v>42.706226966718809</c:v>
                </c:pt>
                <c:pt idx="3">
                  <c:v>49.940884409088838</c:v>
                </c:pt>
                <c:pt idx="4">
                  <c:v>56.330224788620711</c:v>
                </c:pt>
                <c:pt idx="5">
                  <c:v>60.959918239616378</c:v>
                </c:pt>
                <c:pt idx="6">
                  <c:v>62.7</c:v>
                </c:pt>
              </c:numCache>
            </c:numRef>
          </c:yVal>
          <c:smooth val="0"/>
          <c:extLst>
            <c:ext xmlns:c16="http://schemas.microsoft.com/office/drawing/2014/chart" uri="{C3380CC4-5D6E-409C-BE32-E72D297353CC}">
              <c16:uniqueId val="{00000010-25B8-2449-A00A-2115C2441CE3}"/>
            </c:ext>
          </c:extLst>
        </c:ser>
        <c:ser>
          <c:idx val="9"/>
          <c:order val="11"/>
          <c:tx>
            <c:v>"Dec 80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Calcs!$AI$31:$AI$37</c:f>
              <c:numCache>
                <c:formatCode>0</c:formatCode>
                <c:ptCount val="7"/>
                <c:pt idx="0">
                  <c:v>11.83432597146335</c:v>
                </c:pt>
                <c:pt idx="1">
                  <c:v>11.777730977235509</c:v>
                </c:pt>
                <c:pt idx="2">
                  <c:v>10.887904639642294</c:v>
                </c:pt>
                <c:pt idx="3">
                  <c:v>9.149267977654592</c:v>
                </c:pt>
                <c:pt idx="4">
                  <c:v>6.6255159958337737</c:v>
                </c:pt>
                <c:pt idx="5">
                  <c:v>3.4844277193300073</c:v>
                </c:pt>
                <c:pt idx="6">
                  <c:v>0</c:v>
                </c:pt>
              </c:numCache>
            </c:numRef>
          </c:xVal>
          <c:yVal>
            <c:numRef>
              <c:f>Calcs!$AJ$31:$AJ$37</c:f>
              <c:numCache>
                <c:formatCode>0</c:formatCode>
                <c:ptCount val="7"/>
                <c:pt idx="0">
                  <c:v>32.142909895224342</c:v>
                </c:pt>
                <c:pt idx="1">
                  <c:v>34.739993657072219</c:v>
                </c:pt>
                <c:pt idx="2">
                  <c:v>37.235769204297057</c:v>
                </c:pt>
                <c:pt idx="3">
                  <c:v>39.446698793292988</c:v>
                </c:pt>
                <c:pt idx="4">
                  <c:v>41.191847129464179</c:v>
                </c:pt>
                <c:pt idx="5">
                  <c:v>42.313015982447965</c:v>
                </c:pt>
                <c:pt idx="6">
                  <c:v>42.7</c:v>
                </c:pt>
              </c:numCache>
            </c:numRef>
          </c:yVal>
          <c:smooth val="0"/>
          <c:extLst>
            <c:ext xmlns:c16="http://schemas.microsoft.com/office/drawing/2014/chart" uri="{C3380CC4-5D6E-409C-BE32-E72D297353CC}">
              <c16:uniqueId val="{0000000E-25B8-2449-A00A-2115C2441CE3}"/>
            </c:ext>
          </c:extLst>
        </c:ser>
        <c:ser>
          <c:idx val="12"/>
          <c:order val="12"/>
          <c:tx>
            <c:v>"Dec 80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Calcs!$AI$38:$AI$44</c:f>
              <c:numCache>
                <c:formatCode>0</c:formatCode>
                <c:ptCount val="7"/>
                <c:pt idx="0">
                  <c:v>348.16567402853667</c:v>
                </c:pt>
                <c:pt idx="1">
                  <c:v>348.22226902276446</c:v>
                </c:pt>
                <c:pt idx="2">
                  <c:v>349.11209536035773</c:v>
                </c:pt>
                <c:pt idx="3">
                  <c:v>350.85073202234543</c:v>
                </c:pt>
                <c:pt idx="4">
                  <c:v>353.37448400416622</c:v>
                </c:pt>
                <c:pt idx="5">
                  <c:v>356.51557228066997</c:v>
                </c:pt>
                <c:pt idx="6" formatCode="General">
                  <c:v>360</c:v>
                </c:pt>
              </c:numCache>
            </c:numRef>
          </c:xVal>
          <c:yVal>
            <c:numRef>
              <c:f>Calcs!$AJ$38:$AJ$44</c:f>
              <c:numCache>
                <c:formatCode>0</c:formatCode>
                <c:ptCount val="7"/>
                <c:pt idx="0">
                  <c:v>32.142909895224342</c:v>
                </c:pt>
                <c:pt idx="1">
                  <c:v>34.739993657072219</c:v>
                </c:pt>
                <c:pt idx="2">
                  <c:v>37.235769204297057</c:v>
                </c:pt>
                <c:pt idx="3">
                  <c:v>39.446698793292988</c:v>
                </c:pt>
                <c:pt idx="4">
                  <c:v>41.191847129464179</c:v>
                </c:pt>
                <c:pt idx="5">
                  <c:v>42.313015982447965</c:v>
                </c:pt>
                <c:pt idx="6">
                  <c:v>42.7</c:v>
                </c:pt>
              </c:numCache>
            </c:numRef>
          </c:yVal>
          <c:smooth val="0"/>
          <c:extLst>
            <c:ext xmlns:c16="http://schemas.microsoft.com/office/drawing/2014/chart" uri="{C3380CC4-5D6E-409C-BE32-E72D297353CC}">
              <c16:uniqueId val="{00000011-25B8-2449-A00A-2115C2441CE3}"/>
            </c:ext>
          </c:extLst>
        </c:ser>
        <c:ser>
          <c:idx val="13"/>
          <c:order val="13"/>
          <c:tx>
            <c:v>"Dec labels"</c:v>
          </c:tx>
          <c:spPr>
            <a:ln w="25400" cap="rnd">
              <a:noFill/>
              <a:round/>
            </a:ln>
            <a:effectLst/>
          </c:spPr>
          <c:marker>
            <c:symbol val="none"/>
          </c:marker>
          <c:dLbls>
            <c:dLbl>
              <c:idx val="0"/>
              <c:tx>
                <c:rich>
                  <a:bodyPr/>
                  <a:lstStyle/>
                  <a:p>
                    <a:fld id="{1AE1E6A9-BC74-F640-8807-79B36E76624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5B8-2449-A00A-2115C2441CE3}"/>
                </c:ext>
              </c:extLst>
            </c:dLbl>
            <c:dLbl>
              <c:idx val="1"/>
              <c:tx>
                <c:rich>
                  <a:bodyPr/>
                  <a:lstStyle/>
                  <a:p>
                    <a:fld id="{C58B54ED-50DD-A945-BDF3-442FB5C1681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5B8-2449-A00A-2115C2441CE3}"/>
                </c:ext>
              </c:extLst>
            </c:dLbl>
            <c:dLbl>
              <c:idx val="2"/>
              <c:tx>
                <c:rich>
                  <a:bodyPr/>
                  <a:lstStyle/>
                  <a:p>
                    <a:fld id="{9614E8F3-80EE-2445-B764-7CFADA9C89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5B8-2449-A00A-2115C2441CE3}"/>
                </c:ext>
              </c:extLst>
            </c:dLbl>
            <c:dLbl>
              <c:idx val="3"/>
              <c:tx>
                <c:rich>
                  <a:bodyPr/>
                  <a:lstStyle/>
                  <a:p>
                    <a:fld id="{B765361B-7E83-A246-834E-8D7574A018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5B8-2449-A00A-2115C2441CE3}"/>
                </c:ext>
              </c:extLst>
            </c:dLbl>
            <c:dLbl>
              <c:idx val="4"/>
              <c:tx>
                <c:rich>
                  <a:bodyPr/>
                  <a:lstStyle/>
                  <a:p>
                    <a:fld id="{DDF4C66F-95FD-7944-8A95-F689B012D7D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5B8-2449-A00A-2115C2441CE3}"/>
                </c:ext>
              </c:extLst>
            </c:dLbl>
            <c:dLbl>
              <c:idx val="5"/>
              <c:tx>
                <c:rich>
                  <a:bodyPr/>
                  <a:lstStyle/>
                  <a:p>
                    <a:fld id="{C0D3DD09-A858-8149-BA2C-5E513F6E68D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5B8-2449-A00A-2115C2441CE3}"/>
                </c:ext>
              </c:extLst>
            </c:dLbl>
            <c:dLbl>
              <c:idx val="6"/>
              <c:tx>
                <c:rich>
                  <a:bodyPr/>
                  <a:lstStyle/>
                  <a:p>
                    <a:fld id="{BC74869C-382F-E348-8E47-8A59F292E4C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5B8-2449-A00A-2115C2441CE3}"/>
                </c:ext>
              </c:extLst>
            </c:dLbl>
            <c:dLbl>
              <c:idx val="7"/>
              <c:tx>
                <c:rich>
                  <a:bodyPr/>
                  <a:lstStyle/>
                  <a:p>
                    <a:fld id="{397C438E-0E6E-4745-9AD4-1010CDC5925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5B8-2449-A00A-2115C2441CE3}"/>
                </c:ext>
              </c:extLst>
            </c:dLbl>
            <c:dLbl>
              <c:idx val="8"/>
              <c:tx>
                <c:rich>
                  <a:bodyPr/>
                  <a:lstStyle/>
                  <a:p>
                    <a:fld id="{41C383DD-9577-9C43-81BF-EBF478D2770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5B8-2449-A00A-2115C2441CE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Calcs!$Q$31:$Q$39</c:f>
              <c:numCache>
                <c:formatCode>General</c:formatCode>
                <c:ptCount val="9"/>
                <c:pt idx="0" formatCode="0">
                  <c:v>12</c:v>
                </c:pt>
                <c:pt idx="1">
                  <c:v>34</c:v>
                </c:pt>
                <c:pt idx="2">
                  <c:v>55</c:v>
                </c:pt>
                <c:pt idx="3">
                  <c:v>73</c:v>
                </c:pt>
                <c:pt idx="4">
                  <c:v>91</c:v>
                </c:pt>
                <c:pt idx="5">
                  <c:v>114.5</c:v>
                </c:pt>
                <c:pt idx="6">
                  <c:v>38</c:v>
                </c:pt>
                <c:pt idx="7">
                  <c:v>38</c:v>
                </c:pt>
                <c:pt idx="8">
                  <c:v>310</c:v>
                </c:pt>
              </c:numCache>
            </c:numRef>
          </c:xVal>
          <c:yVal>
            <c:numRef>
              <c:f>Calcs!$R$31:$R$39</c:f>
              <c:numCache>
                <c:formatCode>General</c:formatCode>
                <c:ptCount val="9"/>
                <c:pt idx="0">
                  <c:v>30</c:v>
                </c:pt>
                <c:pt idx="1">
                  <c:v>26</c:v>
                </c:pt>
                <c:pt idx="2">
                  <c:v>18</c:v>
                </c:pt>
                <c:pt idx="3">
                  <c:v>8.5</c:v>
                </c:pt>
                <c:pt idx="4">
                  <c:v>2</c:v>
                </c:pt>
                <c:pt idx="5">
                  <c:v>2</c:v>
                </c:pt>
                <c:pt idx="6">
                  <c:v>16</c:v>
                </c:pt>
                <c:pt idx="7">
                  <c:v>12</c:v>
                </c:pt>
                <c:pt idx="8">
                  <c:v>16</c:v>
                </c:pt>
              </c:numCache>
            </c:numRef>
          </c:yVal>
          <c:smooth val="0"/>
          <c:extLst>
            <c:ext xmlns:c15="http://schemas.microsoft.com/office/drawing/2012/chart" uri="{02D57815-91ED-43cb-92C2-25804820EDAC}">
              <c15:datalabelsRange>
                <c15:f>Calcs!$S$31:$S$39</c15:f>
                <c15:dlblRangeCache>
                  <c:ptCount val="9"/>
                  <c:pt idx="0">
                    <c:v>80</c:v>
                  </c:pt>
                  <c:pt idx="1">
                    <c:v>60</c:v>
                  </c:pt>
                  <c:pt idx="2">
                    <c:v>40</c:v>
                  </c:pt>
                  <c:pt idx="3">
                    <c:v>20</c:v>
                  </c:pt>
                  <c:pt idx="4">
                    <c:v>0</c:v>
                  </c:pt>
                  <c:pt idx="5">
                    <c:v>-20</c:v>
                  </c:pt>
                  <c:pt idx="6">
                    <c:v>HA: -6hr</c:v>
                  </c:pt>
                  <c:pt idx="7">
                    <c:v>Dec: #</c:v>
                  </c:pt>
                  <c:pt idx="8">
                    <c:v>HA: +6hr</c:v>
                  </c:pt>
                </c15:dlblRangeCache>
              </c15:datalabelsRange>
            </c:ext>
            <c:ext xmlns:c16="http://schemas.microsoft.com/office/drawing/2014/chart" uri="{C3380CC4-5D6E-409C-BE32-E72D297353CC}">
              <c16:uniqueId val="{00000012-25B8-2449-A00A-2115C2441CE3}"/>
            </c:ext>
          </c:extLst>
        </c:ser>
        <c:ser>
          <c:idx val="14"/>
          <c:order val="14"/>
          <c:tx>
            <c:v>"Instrument"</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76E4DFC0-D3BC-BA44-9392-DAB791F251AA}" type="CELLRANGE">
                      <a:rPr lang="en-US"/>
                      <a:pPr>
                        <a:defRPr sz="1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FBA-2547-A330-9935E4D2CA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MODS!$BO$42</c:f>
              <c:numCache>
                <c:formatCode>General</c:formatCode>
                <c:ptCount val="1"/>
                <c:pt idx="0">
                  <c:v>310</c:v>
                </c:pt>
              </c:numCache>
            </c:numRef>
          </c:xVal>
          <c:yVal>
            <c:numRef>
              <c:f>MODS!$BP$42</c:f>
              <c:numCache>
                <c:formatCode>General</c:formatCode>
                <c:ptCount val="1"/>
                <c:pt idx="0">
                  <c:v>90</c:v>
                </c:pt>
              </c:numCache>
            </c:numRef>
          </c:yVal>
          <c:smooth val="0"/>
          <c:extLst>
            <c:ext xmlns:c15="http://schemas.microsoft.com/office/drawing/2012/chart" uri="{02D57815-91ED-43cb-92C2-25804820EDAC}">
              <c15:datalabelsRange>
                <c15:f>MODS!$BQ$42</c15:f>
                <c15:dlblRangeCache>
                  <c:ptCount val="1"/>
                  <c:pt idx="0">
                    <c:v>MODS, UT=</c:v>
                  </c:pt>
                </c15:dlblRangeCache>
              </c15:datalabelsRange>
            </c:ext>
            <c:ext xmlns:c16="http://schemas.microsoft.com/office/drawing/2014/chart" uri="{C3380CC4-5D6E-409C-BE32-E72D297353CC}">
              <c16:uniqueId val="{00000000-2FBA-2547-A330-9935E4D2CAF5}"/>
            </c:ext>
          </c:extLst>
        </c:ser>
        <c:ser>
          <c:idx val="15"/>
          <c:order val="15"/>
          <c:tx>
            <c:v>"UT"</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321939ED-05E6-104E-AF5F-89589EA60B44}" type="CELLRANGE">
                      <a:rPr lang="en-US"/>
                      <a:pPr>
                        <a:defRPr sz="1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FBA-2547-A330-9935E4D2CA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MODS!$BO$43</c:f>
              <c:numCache>
                <c:formatCode>General</c:formatCode>
                <c:ptCount val="1"/>
                <c:pt idx="0">
                  <c:v>350</c:v>
                </c:pt>
              </c:numCache>
            </c:numRef>
          </c:xVal>
          <c:yVal>
            <c:numRef>
              <c:f>MODS!$BP$43</c:f>
              <c:numCache>
                <c:formatCode>General</c:formatCode>
                <c:ptCount val="1"/>
                <c:pt idx="0">
                  <c:v>90</c:v>
                </c:pt>
              </c:numCache>
            </c:numRef>
          </c:yVal>
          <c:smooth val="0"/>
          <c:extLst>
            <c:ext xmlns:c15="http://schemas.microsoft.com/office/drawing/2012/chart" uri="{02D57815-91ED-43cb-92C2-25804820EDAC}">
              <c15:datalabelsRange>
                <c15:f>MODS!$BQ$43</c15:f>
                <c15:dlblRangeCache>
                  <c:ptCount val="1"/>
                  <c:pt idx="0">
                    <c:v>1.34</c:v>
                  </c:pt>
                </c15:dlblRangeCache>
              </c15:datalabelsRange>
            </c:ext>
            <c:ext xmlns:c16="http://schemas.microsoft.com/office/drawing/2014/chart" uri="{C3380CC4-5D6E-409C-BE32-E72D297353CC}">
              <c16:uniqueId val="{00000002-2FBA-2547-A330-9935E4D2CAF5}"/>
            </c:ext>
          </c:extLst>
        </c:ser>
        <c:ser>
          <c:idx val="16"/>
          <c:order val="16"/>
          <c:tx>
            <c:v>20-deg</c:v>
          </c:tx>
          <c:spPr>
            <a:ln w="25400" cap="rnd">
              <a:noFill/>
              <a:round/>
            </a:ln>
            <a:effectLst/>
          </c:spPr>
          <c:marker>
            <c:symbol val="circle"/>
            <c:size val="2"/>
            <c:spPr>
              <a:solidFill>
                <a:schemeClr val="bg1"/>
              </a:solidFill>
              <a:ln w="9525">
                <a:solidFill>
                  <a:schemeClr val="bg2">
                    <a:lumMod val="75000"/>
                  </a:schemeClr>
                </a:solidFill>
              </a:ln>
              <a:effectLst/>
            </c:spPr>
          </c:marker>
          <c:errBars>
            <c:errDir val="x"/>
            <c:errBarType val="both"/>
            <c:errValType val="cust"/>
            <c:noEndCap val="0"/>
            <c:plus>
              <c:numRef>
                <c:f>Calcs!$S$43:$S$47</c:f>
                <c:numCache>
                  <c:formatCode>General</c:formatCode>
                  <c:ptCount val="5"/>
                  <c:pt idx="0">
                    <c:v>5.019099187716737</c:v>
                  </c:pt>
                  <c:pt idx="1">
                    <c:v>5.5168895948124588</c:v>
                  </c:pt>
                  <c:pt idx="2">
                    <c:v>7.0710678118654746</c:v>
                  </c:pt>
                  <c:pt idx="3">
                    <c:v>11.831007915762493</c:v>
                  </c:pt>
                  <c:pt idx="4">
                    <c:v>38.306487877701905</c:v>
                  </c:pt>
                </c:numCache>
              </c:numRef>
            </c:plus>
            <c:minus>
              <c:numRef>
                <c:f>Calcs!$S$43:$S$47</c:f>
                <c:numCache>
                  <c:formatCode>General</c:formatCode>
                  <c:ptCount val="5"/>
                  <c:pt idx="0">
                    <c:v>5.019099187716737</c:v>
                  </c:pt>
                  <c:pt idx="1">
                    <c:v>5.5168895948124588</c:v>
                  </c:pt>
                  <c:pt idx="2">
                    <c:v>7.0710678118654746</c:v>
                  </c:pt>
                  <c:pt idx="3">
                    <c:v>11.831007915762493</c:v>
                  </c:pt>
                  <c:pt idx="4">
                    <c:v>38.306487877701905</c:v>
                  </c:pt>
                </c:numCache>
              </c:numRef>
            </c:minus>
            <c:spPr>
              <a:noFill/>
              <a:ln w="9525" cap="flat" cmpd="sng" algn="ctr">
                <a:solidFill>
                  <a:schemeClr val="bg1">
                    <a:lumMod val="65000"/>
                  </a:schemeClr>
                </a:solidFill>
                <a:round/>
              </a:ln>
              <a:effectLst/>
            </c:spPr>
          </c:errBars>
          <c:errBars>
            <c:errDir val="y"/>
            <c:errBarType val="both"/>
            <c:errValType val="cust"/>
            <c:noEndCap val="0"/>
            <c:plus>
              <c:numRef>
                <c:f>Calcs!$T$43:$T$47</c:f>
                <c:numCache>
                  <c:formatCode>General</c:formatCode>
                  <c:ptCount val="5"/>
                  <c:pt idx="0">
                    <c:v>5</c:v>
                  </c:pt>
                  <c:pt idx="1">
                    <c:v>5</c:v>
                  </c:pt>
                  <c:pt idx="2">
                    <c:v>5</c:v>
                  </c:pt>
                  <c:pt idx="3">
                    <c:v>5</c:v>
                  </c:pt>
                  <c:pt idx="4">
                    <c:v>5</c:v>
                  </c:pt>
                </c:numCache>
              </c:numRef>
            </c:plus>
            <c:minus>
              <c:numRef>
                <c:f>Calcs!$T$43:$T$47</c:f>
                <c:numCache>
                  <c:formatCode>General</c:formatCode>
                  <c:ptCount val="5"/>
                  <c:pt idx="0">
                    <c:v>5</c:v>
                  </c:pt>
                  <c:pt idx="1">
                    <c:v>5</c:v>
                  </c:pt>
                  <c:pt idx="2">
                    <c:v>5</c:v>
                  </c:pt>
                  <c:pt idx="3">
                    <c:v>5</c:v>
                  </c:pt>
                  <c:pt idx="4">
                    <c:v>5</c:v>
                  </c:pt>
                </c:numCache>
              </c:numRef>
            </c:minus>
            <c:spPr>
              <a:noFill/>
              <a:ln w="9525" cap="flat" cmpd="sng" algn="ctr">
                <a:solidFill>
                  <a:schemeClr val="bg1">
                    <a:lumMod val="65000"/>
                  </a:schemeClr>
                </a:solidFill>
                <a:round/>
              </a:ln>
              <a:effectLst/>
            </c:spPr>
          </c:errBars>
          <c:xVal>
            <c:numRef>
              <c:f>Calcs!$Q$43:$Q$47</c:f>
              <c:numCache>
                <c:formatCode>General</c:formatCode>
                <c:ptCount val="5"/>
                <c:pt idx="0">
                  <c:v>190</c:v>
                </c:pt>
                <c:pt idx="1">
                  <c:v>190</c:v>
                </c:pt>
                <c:pt idx="2">
                  <c:v>190</c:v>
                </c:pt>
                <c:pt idx="3">
                  <c:v>190</c:v>
                </c:pt>
                <c:pt idx="4">
                  <c:v>190</c:v>
                </c:pt>
              </c:numCache>
            </c:numRef>
          </c:xVal>
          <c:yVal>
            <c:numRef>
              <c:f>Calcs!$R$43:$R$47</c:f>
              <c:numCache>
                <c:formatCode>General</c:formatCode>
                <c:ptCount val="5"/>
                <c:pt idx="0">
                  <c:v>5</c:v>
                </c:pt>
                <c:pt idx="1">
                  <c:v>25</c:v>
                </c:pt>
                <c:pt idx="2">
                  <c:v>45</c:v>
                </c:pt>
                <c:pt idx="3">
                  <c:v>65</c:v>
                </c:pt>
                <c:pt idx="4">
                  <c:v>82.5</c:v>
                </c:pt>
              </c:numCache>
            </c:numRef>
          </c:yVal>
          <c:smooth val="0"/>
          <c:extLst>
            <c:ext xmlns:c16="http://schemas.microsoft.com/office/drawing/2014/chart" uri="{C3380CC4-5D6E-409C-BE32-E72D297353CC}">
              <c16:uniqueId val="{00000014-2FBA-2547-A330-9935E4D2CAF5}"/>
            </c:ext>
          </c:extLst>
        </c:ser>
        <c:ser>
          <c:idx val="17"/>
          <c:order val="17"/>
          <c:tx>
            <c:v>10 deg label</c:v>
          </c:tx>
          <c:spPr>
            <a:ln w="25400" cap="rnd">
              <a:noFill/>
              <a:round/>
            </a:ln>
            <a:effectLst/>
          </c:spPr>
          <c:marker>
            <c:symbol val="none"/>
          </c:marker>
          <c:dLbls>
            <c:dLbl>
              <c:idx val="0"/>
              <c:tx>
                <c:rich>
                  <a:bodyPr/>
                  <a:lstStyle/>
                  <a:p>
                    <a:fld id="{1C0AAA14-B51F-9648-A84B-DEF82848649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FBA-2547-A330-9935E4D2CAF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Calcs!$Q$48</c:f>
              <c:numCache>
                <c:formatCode>General</c:formatCode>
                <c:ptCount val="1"/>
                <c:pt idx="0">
                  <c:v>200</c:v>
                </c:pt>
              </c:numCache>
            </c:numRef>
          </c:xVal>
          <c:yVal>
            <c:numRef>
              <c:f>Calcs!$R$48</c:f>
              <c:numCache>
                <c:formatCode>General</c:formatCode>
                <c:ptCount val="1"/>
                <c:pt idx="0">
                  <c:v>7.5</c:v>
                </c:pt>
              </c:numCache>
            </c:numRef>
          </c:yVal>
          <c:smooth val="0"/>
          <c:extLst>
            <c:ext xmlns:c15="http://schemas.microsoft.com/office/drawing/2012/chart" uri="{02D57815-91ED-43cb-92C2-25804820EDAC}">
              <c15:datalabelsRange>
                <c15:f>Calcs!$S$48</c15:f>
                <c15:dlblRangeCache>
                  <c:ptCount val="1"/>
                  <c:pt idx="0">
                    <c:v>10-deg</c:v>
                  </c:pt>
                </c15:dlblRangeCache>
              </c15:datalabelsRange>
            </c:ext>
            <c:ext xmlns:c16="http://schemas.microsoft.com/office/drawing/2014/chart" uri="{C3380CC4-5D6E-409C-BE32-E72D297353CC}">
              <c16:uniqueId val="{00000015-2FBA-2547-A330-9935E4D2CAF5}"/>
            </c:ext>
          </c:extLst>
        </c:ser>
        <c:ser>
          <c:idx val="18"/>
          <c:order val="18"/>
          <c:tx>
            <c:v>Date</c:v>
          </c:tx>
          <c:spPr>
            <a:ln w="25400" cap="rnd">
              <a:noFill/>
              <a:round/>
            </a:ln>
            <a:effectLst/>
          </c:spPr>
          <c:marker>
            <c:symbol val="none"/>
          </c:marker>
          <c:dLbls>
            <c:dLbl>
              <c:idx val="0"/>
              <c:tx>
                <c:rich>
                  <a:bodyPr/>
                  <a:lstStyle/>
                  <a:p>
                    <a:fld id="{37391743-E3A0-014A-9FC8-ED6C8C8ACF8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706-DB40-A464-78B134F63B1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Calcs!$S$21</c:f>
              <c:numCache>
                <c:formatCode>General</c:formatCode>
                <c:ptCount val="1"/>
                <c:pt idx="0">
                  <c:v>40</c:v>
                </c:pt>
              </c:numCache>
            </c:numRef>
          </c:xVal>
          <c:yVal>
            <c:numRef>
              <c:f>Calcs!$T$21</c:f>
              <c:numCache>
                <c:formatCode>General</c:formatCode>
                <c:ptCount val="1"/>
                <c:pt idx="0">
                  <c:v>90</c:v>
                </c:pt>
              </c:numCache>
            </c:numRef>
          </c:yVal>
          <c:smooth val="0"/>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8706-DB40-A464-78B134F63B1A}"/>
            </c:ext>
          </c:extLst>
        </c:ser>
        <c:dLbls>
          <c:showLegendKey val="0"/>
          <c:showVal val="0"/>
          <c:showCatName val="0"/>
          <c:showSerName val="0"/>
          <c:showPercent val="0"/>
          <c:showBubbleSize val="0"/>
        </c:dLbls>
        <c:axId val="955863904"/>
        <c:axId val="496986544"/>
      </c:scatterChart>
      <c:valAx>
        <c:axId val="955863904"/>
        <c:scaling>
          <c:orientation val="minMax"/>
          <c:max val="36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baseline="0"/>
                  <a:t>N                                        E                                                  S            Azimuth (deg)        W                                       N</a:t>
                </a:r>
                <a:endParaRPr lang="en-US" sz="1400" b="1"/>
              </a:p>
            </c:rich>
          </c:tx>
          <c:layout>
            <c:manualLayout>
              <c:xMode val="edge"/>
              <c:yMode val="edge"/>
              <c:x val="0.13250306742575427"/>
              <c:y val="0.92373325545889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6986544"/>
        <c:crosses val="autoZero"/>
        <c:crossBetween val="midCat"/>
        <c:majorUnit val="20"/>
      </c:valAx>
      <c:valAx>
        <c:axId val="496986544"/>
        <c:scaling>
          <c:orientation val="minMax"/>
          <c:max val="9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Altitude (deg)</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5863904"/>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100000">
          <a:schemeClr val="accent1">
            <a:lumMod val="30000"/>
            <a:lumOff val="70000"/>
          </a:schemeClr>
        </a:gs>
      </a:gsLst>
      <a:lin ang="27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Alt-Az</a:t>
            </a:r>
            <a:r>
              <a:rPr lang="en-US" sz="1600" b="1" baseline="0"/>
              <a:t> position of targets at given UT</a:t>
            </a:r>
            <a:endParaRPr lang="en-US" sz="1600" b="1"/>
          </a:p>
        </c:rich>
      </c:tx>
      <c:layout>
        <c:manualLayout>
          <c:xMode val="edge"/>
          <c:yMode val="edge"/>
          <c:x val="0.32971336717109617"/>
          <c:y val="2.570987850190310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"Objects"</c:v>
          </c:tx>
          <c:spPr>
            <a:ln w="25400" cap="rnd">
              <a:noFill/>
              <a:round/>
            </a:ln>
            <a:effectLst/>
          </c:spPr>
          <c:marker>
            <c:symbol val="none"/>
          </c:marker>
          <c:dLbls>
            <c:dLbl>
              <c:idx val="0"/>
              <c:tx>
                <c:rich>
                  <a:bodyPr/>
                  <a:lstStyle/>
                  <a:p>
                    <a:fld id="{B0A68D24-B0C6-4140-8261-2C4FDFAB364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814-3841-B798-E5C9B5567E3C}"/>
                </c:ext>
              </c:extLst>
            </c:dLbl>
            <c:dLbl>
              <c:idx val="1"/>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814-3841-B798-E5C9B5567E3C}"/>
                </c:ext>
              </c:extLst>
            </c:dLbl>
            <c:dLbl>
              <c:idx val="2"/>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7AE31730-EBA9-1045-8BD4-0622F3FA6FAE}"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14-3841-B798-E5C9B5567E3C}"/>
                </c:ext>
              </c:extLst>
            </c:dLbl>
            <c:dLbl>
              <c:idx val="3"/>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fld id="{8004B60C-7F6A-A54E-827D-4CC31D667AFD}" type="CELLRANGE">
                      <a:rPr lang="en-US"/>
                      <a:pPr>
                        <a:defRPr sz="1000" b="1">
                          <a:solidFill>
                            <a:srgbClr val="00B0F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14-3841-B798-E5C9B5567E3C}"/>
                </c:ext>
              </c:extLst>
            </c:dLbl>
            <c:dLbl>
              <c:idx val="4"/>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fld id="{52E9AC98-3865-864B-892E-32FE48C3E401}" type="CELLRANGE">
                      <a:rPr lang="en-US"/>
                      <a:pPr>
                        <a:defRPr sz="1000" b="1">
                          <a:solidFill>
                            <a:srgbClr val="00B0F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14-3841-B798-E5C9B5567E3C}"/>
                </c:ext>
              </c:extLst>
            </c:dLbl>
            <c:dLbl>
              <c:idx val="5"/>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fld id="{1F7FB773-6828-5448-8BE0-0AD4ED469233}" type="CELLRANGE">
                      <a:rPr lang="en-US"/>
                      <a:pPr>
                        <a:defRPr sz="1000" b="1">
                          <a:solidFill>
                            <a:srgbClr val="00B0F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14-3841-B798-E5C9B5567E3C}"/>
                </c:ext>
              </c:extLst>
            </c:dLbl>
            <c:dLbl>
              <c:idx val="6"/>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8814-3841-B798-E5C9B5567E3C}"/>
                </c:ext>
              </c:extLst>
            </c:dLbl>
            <c:dLbl>
              <c:idx val="7"/>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8814-3841-B798-E5C9B5567E3C}"/>
                </c:ext>
              </c:extLst>
            </c:dLbl>
            <c:dLbl>
              <c:idx val="8"/>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8814-3841-B798-E5C9B5567E3C}"/>
                </c:ext>
              </c:extLst>
            </c:dLbl>
            <c:dLbl>
              <c:idx val="9"/>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fld id="{3BD84CA2-D237-9944-A29C-03FBD9B7EED7}" type="CELLRANGE">
                      <a:rPr lang="en-US"/>
                      <a:pPr>
                        <a:defRPr sz="1000" b="1">
                          <a:solidFill>
                            <a:srgbClr val="00B0F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814-3841-B798-E5C9B5567E3C}"/>
                </c:ext>
              </c:extLst>
            </c:dLbl>
            <c:dLbl>
              <c:idx val="10"/>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C16F5C27-F0F3-014A-9983-7B1C71186AAD}"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814-3841-B798-E5C9B5567E3C}"/>
                </c:ext>
              </c:extLst>
            </c:dLbl>
            <c:dLbl>
              <c:idx val="11"/>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fld id="{6286D8B0-4C2D-9240-9398-60AE34E7F0AA}" type="CELLRANGE">
                      <a:rPr lang="en-US"/>
                      <a:pPr>
                        <a:defRPr sz="1000" b="1">
                          <a:solidFill>
                            <a:srgbClr val="00B0F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814-3841-B798-E5C9B5567E3C}"/>
                </c:ext>
              </c:extLst>
            </c:dLbl>
            <c:dLbl>
              <c:idx val="12"/>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fld id="{A83B8A0E-4D30-C64C-8F81-F89585BE2445}" type="CELLRANGE">
                      <a:rPr lang="en-US"/>
                      <a:pPr>
                        <a:defRPr sz="1000" b="1">
                          <a:solidFill>
                            <a:srgbClr val="00B0F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814-3841-B798-E5C9B5567E3C}"/>
                </c:ext>
              </c:extLst>
            </c:dLbl>
            <c:dLbl>
              <c:idx val="13"/>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fld id="{F750F023-7CA9-C243-BFA8-2826F224401E}" type="CELLRANGE">
                      <a:rPr lang="en-US"/>
                      <a:pPr>
                        <a:defRPr sz="1000" b="1">
                          <a:solidFill>
                            <a:srgbClr val="00B0F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814-3841-B798-E5C9B5567E3C}"/>
                </c:ext>
              </c:extLst>
            </c:dLbl>
            <c:dLbl>
              <c:idx val="14"/>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814-3841-B798-E5C9B5567E3C}"/>
                </c:ext>
              </c:extLst>
            </c:dLbl>
            <c:dLbl>
              <c:idx val="15"/>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fld id="{8A8B0A7B-6E4C-CD49-84AE-685A0FECAB0C}" type="CELLRANGE">
                      <a:rPr lang="en-US"/>
                      <a:pPr>
                        <a:defRPr sz="1000" b="1">
                          <a:solidFill>
                            <a:srgbClr val="00B0F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814-3841-B798-E5C9B5567E3C}"/>
                </c:ext>
              </c:extLst>
            </c:dLbl>
            <c:dLbl>
              <c:idx val="16"/>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fld id="{F13705FD-001D-0445-8A91-73EE5B5B442E}" type="CELLRANGE">
                      <a:rPr lang="en-US"/>
                      <a:pPr>
                        <a:defRPr sz="1000" b="1">
                          <a:solidFill>
                            <a:srgbClr val="00B0F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814-3841-B798-E5C9B5567E3C}"/>
                </c:ext>
              </c:extLst>
            </c:dLbl>
            <c:dLbl>
              <c:idx val="17"/>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90AEF4FB-8D96-1746-81E6-7314C47AD84A}"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814-3841-B798-E5C9B5567E3C}"/>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814-3841-B798-E5C9B5567E3C}"/>
                </c:ext>
              </c:extLst>
            </c:dLbl>
            <c:dLbl>
              <c:idx val="1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814-3841-B798-E5C9B5567E3C}"/>
                </c:ext>
              </c:extLst>
            </c:dLbl>
            <c:dLbl>
              <c:idx val="2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814-3841-B798-E5C9B5567E3C}"/>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PEPSI!$AO$4:$AO$24</c:f>
              <c:numCache>
                <c:formatCode>0</c:formatCode>
                <c:ptCount val="21"/>
                <c:pt idx="0">
                  <c:v>72.782808296386051</c:v>
                </c:pt>
                <c:pt idx="1">
                  <c:v>#N/A</c:v>
                </c:pt>
                <c:pt idx="2">
                  <c:v>28.523977690260025</c:v>
                </c:pt>
                <c:pt idx="3">
                  <c:v>358.38933824779127</c:v>
                </c:pt>
                <c:pt idx="4">
                  <c:v>357.54758692772731</c:v>
                </c:pt>
                <c:pt idx="5">
                  <c:v>354.74544061931766</c:v>
                </c:pt>
                <c:pt idx="6">
                  <c:v>#N/A</c:v>
                </c:pt>
                <c:pt idx="7">
                  <c:v>#N/A</c:v>
                </c:pt>
                <c:pt idx="8">
                  <c:v>#N/A</c:v>
                </c:pt>
                <c:pt idx="9">
                  <c:v>293.28362201839224</c:v>
                </c:pt>
                <c:pt idx="10">
                  <c:v>311.99605108348419</c:v>
                </c:pt>
                <c:pt idx="11">
                  <c:v>268.04880351633301</c:v>
                </c:pt>
                <c:pt idx="12">
                  <c:v>256.70551376112184</c:v>
                </c:pt>
                <c:pt idx="13">
                  <c:v>230.87694359453388</c:v>
                </c:pt>
                <c:pt idx="14">
                  <c:v>#N/A</c:v>
                </c:pt>
                <c:pt idx="15">
                  <c:v>37.329269725185043</c:v>
                </c:pt>
                <c:pt idx="16">
                  <c:v>18.602573963039578</c:v>
                </c:pt>
                <c:pt idx="17">
                  <c:v>6.9920930615213006</c:v>
                </c:pt>
                <c:pt idx="18">
                  <c:v>#N/A</c:v>
                </c:pt>
                <c:pt idx="19">
                  <c:v>#N/A</c:v>
                </c:pt>
                <c:pt idx="20">
                  <c:v>#N/A</c:v>
                </c:pt>
              </c:numCache>
            </c:numRef>
          </c:xVal>
          <c:yVal>
            <c:numRef>
              <c:f>PEPSI!$AE$4:$AE$24</c:f>
              <c:numCache>
                <c:formatCode>0</c:formatCode>
                <c:ptCount val="21"/>
                <c:pt idx="0">
                  <c:v>-49.095149179685116</c:v>
                </c:pt>
                <c:pt idx="1">
                  <c:v>#N/A</c:v>
                </c:pt>
                <c:pt idx="2">
                  <c:v>10.42969703750903</c:v>
                </c:pt>
                <c:pt idx="3">
                  <c:v>-6.0530805113652608</c:v>
                </c:pt>
                <c:pt idx="4">
                  <c:v>3.8244439776426296</c:v>
                </c:pt>
                <c:pt idx="5">
                  <c:v>4.7106162985033393</c:v>
                </c:pt>
                <c:pt idx="6">
                  <c:v>#N/A</c:v>
                </c:pt>
                <c:pt idx="7">
                  <c:v>#N/A</c:v>
                </c:pt>
                <c:pt idx="8">
                  <c:v>#N/A</c:v>
                </c:pt>
                <c:pt idx="9">
                  <c:v>-30.202615836606515</c:v>
                </c:pt>
                <c:pt idx="10">
                  <c:v>2.1415643855978832</c:v>
                </c:pt>
                <c:pt idx="11">
                  <c:v>8.6182190584695668</c:v>
                </c:pt>
                <c:pt idx="12">
                  <c:v>13.833494928732289</c:v>
                </c:pt>
                <c:pt idx="13">
                  <c:v>16.898146550694843</c:v>
                </c:pt>
                <c:pt idx="14">
                  <c:v>#N/A</c:v>
                </c:pt>
                <c:pt idx="15">
                  <c:v>9.6337010164595753</c:v>
                </c:pt>
                <c:pt idx="16">
                  <c:v>4.3382820783108471</c:v>
                </c:pt>
                <c:pt idx="17">
                  <c:v>5.4359105194588855</c:v>
                </c:pt>
                <c:pt idx="18">
                  <c:v>#N/A</c:v>
                </c:pt>
                <c:pt idx="19">
                  <c:v>#N/A</c:v>
                </c:pt>
                <c:pt idx="20">
                  <c:v>#N/A</c:v>
                </c:pt>
              </c:numCache>
            </c:numRef>
          </c:yVal>
          <c:smooth val="0"/>
          <c:extLst>
            <c:ext xmlns:c15="http://schemas.microsoft.com/office/drawing/2012/chart" uri="{02D57815-91ED-43cb-92C2-25804820EDAC}">
              <c15:datalabelsRange>
                <c15:f>PEPSI!$W$4:$W$24</c15:f>
                <c15:dlblRangeCache>
                  <c:ptCount val="21"/>
                  <c:pt idx="0">
                    <c:v>Moon</c:v>
                  </c:pt>
                  <c:pt idx="1">
                    <c:v>PETS-1518</c:v>
                  </c:pt>
                  <c:pt idx="2">
                    <c:v>PETS-1431</c:v>
                  </c:pt>
                  <c:pt idx="3">
                    <c:v>TIC3071</c:v>
                  </c:pt>
                  <c:pt idx="4">
                    <c:v>TIC5285</c:v>
                  </c:pt>
                  <c:pt idx="5">
                    <c:v>TIC3898</c:v>
                  </c:pt>
                  <c:pt idx="6">
                    <c:v>TIC2864</c:v>
                  </c:pt>
                  <c:pt idx="7">
                    <c:v>TIC3922</c:v>
                  </c:pt>
                  <c:pt idx="8">
                    <c:v>TIC2600</c:v>
                  </c:pt>
                  <c:pt idx="9">
                    <c:v>TIC4541</c:v>
                  </c:pt>
                  <c:pt idx="10">
                    <c:v>TIC3674</c:v>
                  </c:pt>
                  <c:pt idx="11">
                    <c:v>TIC3178</c:v>
                  </c:pt>
                  <c:pt idx="12">
                    <c:v>TIC7329</c:v>
                  </c:pt>
                  <c:pt idx="13">
                    <c:v>TIC4344</c:v>
                  </c:pt>
                  <c:pt idx="14">
                    <c:v>TIC8927</c:v>
                  </c:pt>
                  <c:pt idx="15">
                    <c:v>TIC2783</c:v>
                  </c:pt>
                  <c:pt idx="16">
                    <c:v>TIC4140</c:v>
                  </c:pt>
                  <c:pt idx="17">
                    <c:v>TIC4707</c:v>
                  </c:pt>
                </c15:dlblRangeCache>
              </c15:datalabelsRange>
            </c:ext>
            <c:ext xmlns:c16="http://schemas.microsoft.com/office/drawing/2014/chart" uri="{C3380CC4-5D6E-409C-BE32-E72D297353CC}">
              <c16:uniqueId val="{00000015-8814-3841-B798-E5C9B5567E3C}"/>
            </c:ext>
          </c:extLst>
        </c:ser>
        <c:ser>
          <c:idx val="1"/>
          <c:order val="1"/>
          <c:tx>
            <c:v>"elevation limit"</c:v>
          </c:tx>
          <c:spPr>
            <a:ln w="15875"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Calcs!$N$30:$N$31</c:f>
              <c:numCache>
                <c:formatCode>General</c:formatCode>
                <c:ptCount val="2"/>
                <c:pt idx="0">
                  <c:v>30</c:v>
                </c:pt>
                <c:pt idx="1">
                  <c:v>30</c:v>
                </c:pt>
              </c:numCache>
            </c:numRef>
          </c:yVal>
          <c:smooth val="0"/>
          <c:extLst>
            <c:ext xmlns:c16="http://schemas.microsoft.com/office/drawing/2014/chart" uri="{C3380CC4-5D6E-409C-BE32-E72D297353CC}">
              <c16:uniqueId val="{00000016-8814-3841-B798-E5C9B5567E3C}"/>
            </c:ext>
          </c:extLst>
        </c:ser>
        <c:ser>
          <c:idx val="2"/>
          <c:order val="2"/>
          <c:tx>
            <c:v>"Zenith Limit"</c:v>
          </c:tx>
          <c:spPr>
            <a:ln w="15875"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Calcs!$O$30:$O$31</c:f>
              <c:numCache>
                <c:formatCode>General</c:formatCode>
                <c:ptCount val="2"/>
                <c:pt idx="0">
                  <c:v>86</c:v>
                </c:pt>
                <c:pt idx="1">
                  <c:v>86</c:v>
                </c:pt>
              </c:numCache>
            </c:numRef>
          </c:yVal>
          <c:smooth val="0"/>
          <c:extLst>
            <c:ext xmlns:c16="http://schemas.microsoft.com/office/drawing/2014/chart" uri="{C3380CC4-5D6E-409C-BE32-E72D297353CC}">
              <c16:uniqueId val="{00000017-8814-3841-B798-E5C9B5567E3C}"/>
            </c:ext>
          </c:extLst>
        </c:ser>
        <c:ser>
          <c:idx val="3"/>
          <c:order val="3"/>
          <c:tx>
            <c:v>"Meridian"</c:v>
          </c:tx>
          <c:spPr>
            <a:ln w="12700" cap="rnd">
              <a:solidFill>
                <a:schemeClr val="bg1">
                  <a:lumMod val="50000"/>
                </a:schemeClr>
              </a:solidFill>
              <a:prstDash val="dash"/>
              <a:round/>
            </a:ln>
            <a:effectLst/>
          </c:spPr>
          <c:marker>
            <c:symbol val="none"/>
          </c:marker>
          <c:dPt>
            <c:idx val="1"/>
            <c:marker>
              <c:symbol val="none"/>
            </c:marker>
            <c:bubble3D val="0"/>
            <c:spPr>
              <a:ln w="15875" cap="rnd">
                <a:solidFill>
                  <a:srgbClr val="FF0000"/>
                </a:solidFill>
                <a:prstDash val="dash"/>
                <a:round/>
              </a:ln>
              <a:effectLst/>
            </c:spPr>
            <c:extLst>
              <c:ext xmlns:c16="http://schemas.microsoft.com/office/drawing/2014/chart" uri="{C3380CC4-5D6E-409C-BE32-E72D297353CC}">
                <c16:uniqueId val="{00000019-8814-3841-B798-E5C9B5567E3C}"/>
              </c:ext>
            </c:extLst>
          </c:dPt>
          <c:xVal>
            <c:numRef>
              <c:f>Calcs!$M$32:$M$33</c:f>
              <c:numCache>
                <c:formatCode>General</c:formatCode>
                <c:ptCount val="2"/>
                <c:pt idx="0">
                  <c:v>180</c:v>
                </c:pt>
                <c:pt idx="1">
                  <c:v>180</c:v>
                </c:pt>
              </c:numCache>
            </c:numRef>
          </c:xVal>
          <c:yVal>
            <c:numRef>
              <c:f>Calcs!$N$32:$N$33</c:f>
              <c:numCache>
                <c:formatCode>General</c:formatCode>
                <c:ptCount val="2"/>
                <c:pt idx="0">
                  <c:v>0</c:v>
                </c:pt>
                <c:pt idx="1">
                  <c:v>90</c:v>
                </c:pt>
              </c:numCache>
            </c:numRef>
          </c:yVal>
          <c:smooth val="0"/>
          <c:extLst>
            <c:ext xmlns:c16="http://schemas.microsoft.com/office/drawing/2014/chart" uri="{C3380CC4-5D6E-409C-BE32-E72D297353CC}">
              <c16:uniqueId val="{0000001A-8814-3841-B798-E5C9B5567E3C}"/>
            </c:ext>
          </c:extLst>
        </c:ser>
        <c:ser>
          <c:idx val="4"/>
          <c:order val="4"/>
          <c:tx>
            <c:v>"Dec -20"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Calcs!$Y$31:$Y$43</c:f>
              <c:numCache>
                <c:formatCode>0</c:formatCode>
                <c:ptCount val="13"/>
                <c:pt idx="0">
                  <c:v>107.02903424436295</c:v>
                </c:pt>
                <c:pt idx="1">
                  <c:v>114.78968379951743</c:v>
                </c:pt>
                <c:pt idx="2">
                  <c:v>123.64675150493228</c:v>
                </c:pt>
                <c:pt idx="3">
                  <c:v>134.22752195987701</c:v>
                </c:pt>
                <c:pt idx="4">
                  <c:v>147.14269848289527</c:v>
                </c:pt>
                <c:pt idx="5">
                  <c:v>162.6439270283274</c:v>
                </c:pt>
                <c:pt idx="6">
                  <c:v>180</c:v>
                </c:pt>
                <c:pt idx="7">
                  <c:v>197.3560729716726</c:v>
                </c:pt>
                <c:pt idx="8">
                  <c:v>212.85730151710473</c:v>
                </c:pt>
                <c:pt idx="9">
                  <c:v>225.77247804012299</c:v>
                </c:pt>
                <c:pt idx="10">
                  <c:v>236.3532484950677</c:v>
                </c:pt>
                <c:pt idx="11">
                  <c:v>245.21031620048257</c:v>
                </c:pt>
                <c:pt idx="12">
                  <c:v>252.97096575563705</c:v>
                </c:pt>
              </c:numCache>
            </c:numRef>
          </c:xVal>
          <c:yVal>
            <c:numRef>
              <c:f>Calcs!$Z$31:$Z$43</c:f>
              <c:numCache>
                <c:formatCode>0</c:formatCode>
                <c:ptCount val="13"/>
                <c:pt idx="0">
                  <c:v>-10.647902283000841</c:v>
                </c:pt>
                <c:pt idx="1">
                  <c:v>1.1397487980177132</c:v>
                </c:pt>
                <c:pt idx="2">
                  <c:v>12.157965287544533</c:v>
                </c:pt>
                <c:pt idx="3">
                  <c:v>21.985981395600813</c:v>
                </c:pt>
                <c:pt idx="4">
                  <c:v>30.003073243340051</c:v>
                </c:pt>
                <c:pt idx="5">
                  <c:v>35.383320664520298</c:v>
                </c:pt>
                <c:pt idx="6">
                  <c:v>37.300000000000011</c:v>
                </c:pt>
                <c:pt idx="7">
                  <c:v>35.383320664520298</c:v>
                </c:pt>
                <c:pt idx="8">
                  <c:v>30.003073243340051</c:v>
                </c:pt>
                <c:pt idx="9">
                  <c:v>21.985981395600813</c:v>
                </c:pt>
                <c:pt idx="10">
                  <c:v>12.157965287544533</c:v>
                </c:pt>
                <c:pt idx="11">
                  <c:v>1.1397487980177132</c:v>
                </c:pt>
                <c:pt idx="12">
                  <c:v>-10.647902283000841</c:v>
                </c:pt>
              </c:numCache>
            </c:numRef>
          </c:yVal>
          <c:smooth val="0"/>
          <c:extLst>
            <c:ext xmlns:c16="http://schemas.microsoft.com/office/drawing/2014/chart" uri="{C3380CC4-5D6E-409C-BE32-E72D297353CC}">
              <c16:uniqueId val="{0000001B-8814-3841-B798-E5C9B5567E3C}"/>
            </c:ext>
          </c:extLst>
        </c:ser>
        <c:ser>
          <c:idx val="5"/>
          <c:order val="5"/>
          <c:tx>
            <c:v>"Dec 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Calcs!$AA$31:$AA$43</c:f>
              <c:numCache>
                <c:formatCode>0</c:formatCode>
                <c:ptCount val="13"/>
                <c:pt idx="0">
                  <c:v>90</c:v>
                </c:pt>
                <c:pt idx="1">
                  <c:v>98.236748204702977</c:v>
                </c:pt>
                <c:pt idx="2">
                  <c:v>107.32311253128316</c:v>
                </c:pt>
                <c:pt idx="3">
                  <c:v>118.37970591360207</c:v>
                </c:pt>
                <c:pt idx="4">
                  <c:v>133.09817430910678</c:v>
                </c:pt>
                <c:pt idx="5">
                  <c:v>153.61944023636568</c:v>
                </c:pt>
                <c:pt idx="6">
                  <c:v>180</c:v>
                </c:pt>
                <c:pt idx="7">
                  <c:v>206.38055976363432</c:v>
                </c:pt>
                <c:pt idx="8">
                  <c:v>226.90182569089322</c:v>
                </c:pt>
                <c:pt idx="9">
                  <c:v>241.62029408639793</c:v>
                </c:pt>
                <c:pt idx="10">
                  <c:v>252.67688746871684</c:v>
                </c:pt>
                <c:pt idx="11">
                  <c:v>261.76325179529704</c:v>
                </c:pt>
                <c:pt idx="12">
                  <c:v>270</c:v>
                </c:pt>
              </c:numCache>
            </c:numRef>
          </c:xVal>
          <c:yVal>
            <c:numRef>
              <c:f>Calcs!$AB$31:$AB$43</c:f>
              <c:numCache>
                <c:formatCode>0</c:formatCode>
                <c:ptCount val="13"/>
                <c:pt idx="0">
                  <c:v>2.9535276312798145E-15</c:v>
                </c:pt>
                <c:pt idx="1">
                  <c:v>12.579791486979417</c:v>
                </c:pt>
                <c:pt idx="2">
                  <c:v>24.882287665203343</c:v>
                </c:pt>
                <c:pt idx="3">
                  <c:v>36.515339679802814</c:v>
                </c:pt>
                <c:pt idx="4">
                  <c:v>46.78335381826129</c:v>
                </c:pt>
                <c:pt idx="5">
                  <c:v>54.374047122650516</c:v>
                </c:pt>
                <c:pt idx="6">
                  <c:v>57.3</c:v>
                </c:pt>
                <c:pt idx="7">
                  <c:v>54.374047122650516</c:v>
                </c:pt>
                <c:pt idx="8">
                  <c:v>46.78335381826129</c:v>
                </c:pt>
                <c:pt idx="9">
                  <c:v>36.515339679802814</c:v>
                </c:pt>
                <c:pt idx="10">
                  <c:v>24.882287665203343</c:v>
                </c:pt>
                <c:pt idx="11">
                  <c:v>12.579791486979417</c:v>
                </c:pt>
                <c:pt idx="12">
                  <c:v>2.9535276312798145E-15</c:v>
                </c:pt>
              </c:numCache>
            </c:numRef>
          </c:yVal>
          <c:smooth val="0"/>
          <c:extLst>
            <c:ext xmlns:c16="http://schemas.microsoft.com/office/drawing/2014/chart" uri="{C3380CC4-5D6E-409C-BE32-E72D297353CC}">
              <c16:uniqueId val="{0000001C-8814-3841-B798-E5C9B5567E3C}"/>
            </c:ext>
          </c:extLst>
        </c:ser>
        <c:ser>
          <c:idx val="6"/>
          <c:order val="6"/>
          <c:tx>
            <c:v>"Dec 20"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Calcs!$AC$31:$AC$43</c:f>
              <c:numCache>
                <c:formatCode>0</c:formatCode>
                <c:ptCount val="13"/>
                <c:pt idx="0">
                  <c:v>72.970965755637053</c:v>
                </c:pt>
                <c:pt idx="1">
                  <c:v>80.222117465539853</c:v>
                </c:pt>
                <c:pt idx="2">
                  <c:v>87.608750982038728</c:v>
                </c:pt>
                <c:pt idx="3">
                  <c:v>96.112401476938246</c:v>
                </c:pt>
                <c:pt idx="4">
                  <c:v>107.90844260304503</c:v>
                </c:pt>
                <c:pt idx="5">
                  <c:v>129.78788530765956</c:v>
                </c:pt>
                <c:pt idx="6">
                  <c:v>180</c:v>
                </c:pt>
                <c:pt idx="7">
                  <c:v>230.21211469234044</c:v>
                </c:pt>
                <c:pt idx="8">
                  <c:v>252.09155739695495</c:v>
                </c:pt>
                <c:pt idx="9">
                  <c:v>263.88759852306174</c:v>
                </c:pt>
                <c:pt idx="10">
                  <c:v>272.39124901796129</c:v>
                </c:pt>
                <c:pt idx="11">
                  <c:v>279.77788253446016</c:v>
                </c:pt>
                <c:pt idx="12">
                  <c:v>287.02903424436295</c:v>
                </c:pt>
              </c:numCache>
            </c:numRef>
          </c:xVal>
          <c:yVal>
            <c:numRef>
              <c:f>Calcs!$AD$31:$AD$43</c:f>
              <c:numCache>
                <c:formatCode>0</c:formatCode>
                <c:ptCount val="13"/>
                <c:pt idx="0">
                  <c:v>10.647902283000848</c:v>
                </c:pt>
                <c:pt idx="1">
                  <c:v>22.919484936535</c:v>
                </c:pt>
                <c:pt idx="2">
                  <c:v>35.461361393613451</c:v>
                </c:pt>
                <c:pt idx="3">
                  <c:v>48.066922167281085</c:v>
                </c:pt>
                <c:pt idx="4">
                  <c:v>60.411330879740305</c:v>
                </c:pt>
                <c:pt idx="5">
                  <c:v>71.548154461504794</c:v>
                </c:pt>
                <c:pt idx="6">
                  <c:v>77.3</c:v>
                </c:pt>
                <c:pt idx="7">
                  <c:v>71.548154461504794</c:v>
                </c:pt>
                <c:pt idx="8">
                  <c:v>60.411330879740305</c:v>
                </c:pt>
                <c:pt idx="9">
                  <c:v>48.066922167281085</c:v>
                </c:pt>
                <c:pt idx="10">
                  <c:v>35.461361393613451</c:v>
                </c:pt>
                <c:pt idx="11">
                  <c:v>22.919484936535</c:v>
                </c:pt>
                <c:pt idx="12">
                  <c:v>10.647902283000848</c:v>
                </c:pt>
              </c:numCache>
            </c:numRef>
          </c:yVal>
          <c:smooth val="0"/>
          <c:extLst>
            <c:ext xmlns:c16="http://schemas.microsoft.com/office/drawing/2014/chart" uri="{C3380CC4-5D6E-409C-BE32-E72D297353CC}">
              <c16:uniqueId val="{0000001D-8814-3841-B798-E5C9B5567E3C}"/>
            </c:ext>
          </c:extLst>
        </c:ser>
        <c:ser>
          <c:idx val="7"/>
          <c:order val="7"/>
          <c:tx>
            <c:v>Dec 40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Calcs!$AE$31:$AE$37</c:f>
              <c:numCache>
                <c:formatCode>0</c:formatCode>
                <c:ptCount val="7"/>
                <c:pt idx="0">
                  <c:v>54.773649427199068</c:v>
                </c:pt>
                <c:pt idx="1">
                  <c:v>59.618467093394699</c:v>
                </c:pt>
                <c:pt idx="2">
                  <c:v>63.277519715569262</c:v>
                </c:pt>
                <c:pt idx="3">
                  <c:v>65.375552352537142</c:v>
                </c:pt>
                <c:pt idx="4">
                  <c:v>64.522242830245119</c:v>
                </c:pt>
                <c:pt idx="5">
                  <c:v>54.549112084780688</c:v>
                </c:pt>
                <c:pt idx="6">
                  <c:v>0</c:v>
                </c:pt>
              </c:numCache>
            </c:numRef>
          </c:xVal>
          <c:yVal>
            <c:numRef>
              <c:f>Calcs!$AF$31:$AF$37</c:f>
              <c:numCache>
                <c:formatCode>0</c:formatCode>
                <c:ptCount val="7"/>
                <c:pt idx="0">
                  <c:v>20.319802581796932</c:v>
                </c:pt>
                <c:pt idx="1">
                  <c:v>30.93755122000206</c:v>
                </c:pt>
                <c:pt idx="2">
                  <c:v>42.034434601207053</c:v>
                </c:pt>
                <c:pt idx="3">
                  <c:v>53.425747279019312</c:v>
                </c:pt>
                <c:pt idx="4">
                  <c:v>64.894729558190605</c:v>
                </c:pt>
                <c:pt idx="5">
                  <c:v>75.913420070000157</c:v>
                </c:pt>
                <c:pt idx="6">
                  <c:v>82.699999999999974</c:v>
                </c:pt>
              </c:numCache>
            </c:numRef>
          </c:yVal>
          <c:smooth val="0"/>
          <c:extLst>
            <c:ext xmlns:c16="http://schemas.microsoft.com/office/drawing/2014/chart" uri="{C3380CC4-5D6E-409C-BE32-E72D297353CC}">
              <c16:uniqueId val="{0000001E-8814-3841-B798-E5C9B5567E3C}"/>
            </c:ext>
          </c:extLst>
        </c:ser>
        <c:ser>
          <c:idx val="10"/>
          <c:order val="8"/>
          <c:tx>
            <c:v>"Dec 40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Calcs!$AE$38:$AE$44</c:f>
              <c:numCache>
                <c:formatCode>0</c:formatCode>
                <c:ptCount val="7"/>
                <c:pt idx="0">
                  <c:v>305.22635057280092</c:v>
                </c:pt>
                <c:pt idx="1">
                  <c:v>300.38153290660529</c:v>
                </c:pt>
                <c:pt idx="2">
                  <c:v>296.72248028443073</c:v>
                </c:pt>
                <c:pt idx="3">
                  <c:v>294.62444764746283</c:v>
                </c:pt>
                <c:pt idx="4">
                  <c:v>295.47775716975491</c:v>
                </c:pt>
                <c:pt idx="5">
                  <c:v>305.45088791521931</c:v>
                </c:pt>
                <c:pt idx="6">
                  <c:v>360</c:v>
                </c:pt>
              </c:numCache>
            </c:numRef>
          </c:xVal>
          <c:yVal>
            <c:numRef>
              <c:f>Calcs!$AF$38:$AF$44</c:f>
              <c:numCache>
                <c:formatCode>0</c:formatCode>
                <c:ptCount val="7"/>
                <c:pt idx="0">
                  <c:v>20.319802581796932</c:v>
                </c:pt>
                <c:pt idx="1">
                  <c:v>30.93755122000206</c:v>
                </c:pt>
                <c:pt idx="2">
                  <c:v>42.034434601207053</c:v>
                </c:pt>
                <c:pt idx="3">
                  <c:v>53.425747279019312</c:v>
                </c:pt>
                <c:pt idx="4">
                  <c:v>64.894729558190605</c:v>
                </c:pt>
                <c:pt idx="5">
                  <c:v>75.913420070000157</c:v>
                </c:pt>
                <c:pt idx="6">
                  <c:v>82.699999999999974</c:v>
                </c:pt>
              </c:numCache>
            </c:numRef>
          </c:yVal>
          <c:smooth val="0"/>
          <c:extLst>
            <c:ext xmlns:c16="http://schemas.microsoft.com/office/drawing/2014/chart" uri="{C3380CC4-5D6E-409C-BE32-E72D297353CC}">
              <c16:uniqueId val="{0000001F-8814-3841-B798-E5C9B5567E3C}"/>
            </c:ext>
          </c:extLst>
        </c:ser>
        <c:ser>
          <c:idx val="8"/>
          <c:order val="9"/>
          <c:tx>
            <c:v>"Dec 60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Calcs!$AG$31:$AG$37</c:f>
              <c:numCache>
                <c:formatCode>0</c:formatCode>
                <c:ptCount val="7"/>
                <c:pt idx="0">
                  <c:v>34.453542564623511</c:v>
                </c:pt>
                <c:pt idx="1">
                  <c:v>36.242569325632047</c:v>
                </c:pt>
                <c:pt idx="2">
                  <c:v>36.104547906981949</c:v>
                </c:pt>
                <c:pt idx="3">
                  <c:v>33.322859188499407</c:v>
                </c:pt>
                <c:pt idx="4">
                  <c:v>26.803591925178001</c:v>
                </c:pt>
                <c:pt idx="5">
                  <c:v>15.46158026525119</c:v>
                </c:pt>
                <c:pt idx="6">
                  <c:v>0</c:v>
                </c:pt>
              </c:numCache>
            </c:numRef>
          </c:xVal>
          <c:yVal>
            <c:numRef>
              <c:f>Calcs!$AH$31:$AH$37</c:f>
              <c:numCache>
                <c:formatCode>0</c:formatCode>
                <c:ptCount val="7"/>
                <c:pt idx="0">
                  <c:v>27.895593331044331</c:v>
                </c:pt>
                <c:pt idx="1">
                  <c:v>35.223074169307544</c:v>
                </c:pt>
                <c:pt idx="2">
                  <c:v>42.706226966718809</c:v>
                </c:pt>
                <c:pt idx="3">
                  <c:v>49.940884409088838</c:v>
                </c:pt>
                <c:pt idx="4">
                  <c:v>56.330224788620711</c:v>
                </c:pt>
                <c:pt idx="5">
                  <c:v>60.959918239616378</c:v>
                </c:pt>
                <c:pt idx="6">
                  <c:v>62.7</c:v>
                </c:pt>
              </c:numCache>
            </c:numRef>
          </c:yVal>
          <c:smooth val="0"/>
          <c:extLst>
            <c:ext xmlns:c16="http://schemas.microsoft.com/office/drawing/2014/chart" uri="{C3380CC4-5D6E-409C-BE32-E72D297353CC}">
              <c16:uniqueId val="{00000020-8814-3841-B798-E5C9B5567E3C}"/>
            </c:ext>
          </c:extLst>
        </c:ser>
        <c:ser>
          <c:idx val="11"/>
          <c:order val="10"/>
          <c:tx>
            <c:v>"Dec 60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Calcs!$AG$38:$AG$44</c:f>
              <c:numCache>
                <c:formatCode>0</c:formatCode>
                <c:ptCount val="7"/>
                <c:pt idx="0">
                  <c:v>325.54645743537651</c:v>
                </c:pt>
                <c:pt idx="1">
                  <c:v>323.75743067436792</c:v>
                </c:pt>
                <c:pt idx="2">
                  <c:v>323.89545209301804</c:v>
                </c:pt>
                <c:pt idx="3">
                  <c:v>326.67714081150058</c:v>
                </c:pt>
                <c:pt idx="4">
                  <c:v>333.19640807482199</c:v>
                </c:pt>
                <c:pt idx="5">
                  <c:v>344.5384197347488</c:v>
                </c:pt>
                <c:pt idx="6" formatCode="General">
                  <c:v>360</c:v>
                </c:pt>
              </c:numCache>
            </c:numRef>
          </c:xVal>
          <c:yVal>
            <c:numRef>
              <c:f>Calcs!$AH$38:$AH$44</c:f>
              <c:numCache>
                <c:formatCode>0</c:formatCode>
                <c:ptCount val="7"/>
                <c:pt idx="0">
                  <c:v>27.895593331044331</c:v>
                </c:pt>
                <c:pt idx="1">
                  <c:v>35.223074169307544</c:v>
                </c:pt>
                <c:pt idx="2">
                  <c:v>42.706226966718809</c:v>
                </c:pt>
                <c:pt idx="3">
                  <c:v>49.940884409088838</c:v>
                </c:pt>
                <c:pt idx="4">
                  <c:v>56.330224788620711</c:v>
                </c:pt>
                <c:pt idx="5">
                  <c:v>60.959918239616378</c:v>
                </c:pt>
                <c:pt idx="6">
                  <c:v>62.7</c:v>
                </c:pt>
              </c:numCache>
            </c:numRef>
          </c:yVal>
          <c:smooth val="0"/>
          <c:extLst>
            <c:ext xmlns:c16="http://schemas.microsoft.com/office/drawing/2014/chart" uri="{C3380CC4-5D6E-409C-BE32-E72D297353CC}">
              <c16:uniqueId val="{00000021-8814-3841-B798-E5C9B5567E3C}"/>
            </c:ext>
          </c:extLst>
        </c:ser>
        <c:ser>
          <c:idx val="9"/>
          <c:order val="11"/>
          <c:tx>
            <c:v>"Dec 80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Calcs!$AI$31:$AI$37</c:f>
              <c:numCache>
                <c:formatCode>0</c:formatCode>
                <c:ptCount val="7"/>
                <c:pt idx="0">
                  <c:v>11.83432597146335</c:v>
                </c:pt>
                <c:pt idx="1">
                  <c:v>11.777730977235509</c:v>
                </c:pt>
                <c:pt idx="2">
                  <c:v>10.887904639642294</c:v>
                </c:pt>
                <c:pt idx="3">
                  <c:v>9.149267977654592</c:v>
                </c:pt>
                <c:pt idx="4">
                  <c:v>6.6255159958337737</c:v>
                </c:pt>
                <c:pt idx="5">
                  <c:v>3.4844277193300073</c:v>
                </c:pt>
                <c:pt idx="6">
                  <c:v>0</c:v>
                </c:pt>
              </c:numCache>
            </c:numRef>
          </c:xVal>
          <c:yVal>
            <c:numRef>
              <c:f>Calcs!$AJ$31:$AJ$37</c:f>
              <c:numCache>
                <c:formatCode>0</c:formatCode>
                <c:ptCount val="7"/>
                <c:pt idx="0">
                  <c:v>32.142909895224342</c:v>
                </c:pt>
                <c:pt idx="1">
                  <c:v>34.739993657072219</c:v>
                </c:pt>
                <c:pt idx="2">
                  <c:v>37.235769204297057</c:v>
                </c:pt>
                <c:pt idx="3">
                  <c:v>39.446698793292988</c:v>
                </c:pt>
                <c:pt idx="4">
                  <c:v>41.191847129464179</c:v>
                </c:pt>
                <c:pt idx="5">
                  <c:v>42.313015982447965</c:v>
                </c:pt>
                <c:pt idx="6">
                  <c:v>42.7</c:v>
                </c:pt>
              </c:numCache>
            </c:numRef>
          </c:yVal>
          <c:smooth val="0"/>
          <c:extLst>
            <c:ext xmlns:c16="http://schemas.microsoft.com/office/drawing/2014/chart" uri="{C3380CC4-5D6E-409C-BE32-E72D297353CC}">
              <c16:uniqueId val="{00000022-8814-3841-B798-E5C9B5567E3C}"/>
            </c:ext>
          </c:extLst>
        </c:ser>
        <c:ser>
          <c:idx val="12"/>
          <c:order val="12"/>
          <c:tx>
            <c:v>"Dec 80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Calcs!$AI$38:$AI$44</c:f>
              <c:numCache>
                <c:formatCode>0</c:formatCode>
                <c:ptCount val="7"/>
                <c:pt idx="0">
                  <c:v>348.16567402853667</c:v>
                </c:pt>
                <c:pt idx="1">
                  <c:v>348.22226902276446</c:v>
                </c:pt>
                <c:pt idx="2">
                  <c:v>349.11209536035773</c:v>
                </c:pt>
                <c:pt idx="3">
                  <c:v>350.85073202234543</c:v>
                </c:pt>
                <c:pt idx="4">
                  <c:v>353.37448400416622</c:v>
                </c:pt>
                <c:pt idx="5">
                  <c:v>356.51557228066997</c:v>
                </c:pt>
                <c:pt idx="6" formatCode="General">
                  <c:v>360</c:v>
                </c:pt>
              </c:numCache>
            </c:numRef>
          </c:xVal>
          <c:yVal>
            <c:numRef>
              <c:f>Calcs!$AJ$38:$AJ$44</c:f>
              <c:numCache>
                <c:formatCode>0</c:formatCode>
                <c:ptCount val="7"/>
                <c:pt idx="0">
                  <c:v>32.142909895224342</c:v>
                </c:pt>
                <c:pt idx="1">
                  <c:v>34.739993657072219</c:v>
                </c:pt>
                <c:pt idx="2">
                  <c:v>37.235769204297057</c:v>
                </c:pt>
                <c:pt idx="3">
                  <c:v>39.446698793292988</c:v>
                </c:pt>
                <c:pt idx="4">
                  <c:v>41.191847129464179</c:v>
                </c:pt>
                <c:pt idx="5">
                  <c:v>42.313015982447965</c:v>
                </c:pt>
                <c:pt idx="6">
                  <c:v>42.7</c:v>
                </c:pt>
              </c:numCache>
            </c:numRef>
          </c:yVal>
          <c:smooth val="0"/>
          <c:extLst>
            <c:ext xmlns:c16="http://schemas.microsoft.com/office/drawing/2014/chart" uri="{C3380CC4-5D6E-409C-BE32-E72D297353CC}">
              <c16:uniqueId val="{00000023-8814-3841-B798-E5C9B5567E3C}"/>
            </c:ext>
          </c:extLst>
        </c:ser>
        <c:ser>
          <c:idx val="13"/>
          <c:order val="13"/>
          <c:tx>
            <c:v>"Dec labels"</c:v>
          </c:tx>
          <c:spPr>
            <a:ln w="25400" cap="rnd">
              <a:noFill/>
              <a:round/>
            </a:ln>
            <a:effectLst/>
          </c:spPr>
          <c:marker>
            <c:symbol val="none"/>
          </c:marker>
          <c:dLbls>
            <c:dLbl>
              <c:idx val="0"/>
              <c:tx>
                <c:rich>
                  <a:bodyPr/>
                  <a:lstStyle/>
                  <a:p>
                    <a:fld id="{0A217262-7673-8B4F-A144-C38F7F844EE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8814-3841-B798-E5C9B5567E3C}"/>
                </c:ext>
              </c:extLst>
            </c:dLbl>
            <c:dLbl>
              <c:idx val="1"/>
              <c:tx>
                <c:rich>
                  <a:bodyPr/>
                  <a:lstStyle/>
                  <a:p>
                    <a:fld id="{B9246995-BEF9-C44E-8615-BF8E702FEB2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8814-3841-B798-E5C9B5567E3C}"/>
                </c:ext>
              </c:extLst>
            </c:dLbl>
            <c:dLbl>
              <c:idx val="2"/>
              <c:tx>
                <c:rich>
                  <a:bodyPr/>
                  <a:lstStyle/>
                  <a:p>
                    <a:fld id="{9CB5D0E4-A14A-8745-AE8B-67EF79D10D0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8814-3841-B798-E5C9B5567E3C}"/>
                </c:ext>
              </c:extLst>
            </c:dLbl>
            <c:dLbl>
              <c:idx val="3"/>
              <c:tx>
                <c:rich>
                  <a:bodyPr/>
                  <a:lstStyle/>
                  <a:p>
                    <a:fld id="{6897D65D-AB98-064C-9B55-F7E276D6FDD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8814-3841-B798-E5C9B5567E3C}"/>
                </c:ext>
              </c:extLst>
            </c:dLbl>
            <c:dLbl>
              <c:idx val="4"/>
              <c:tx>
                <c:rich>
                  <a:bodyPr/>
                  <a:lstStyle/>
                  <a:p>
                    <a:fld id="{FD9FD303-F5B3-F148-85A9-8C401C3FEDB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8814-3841-B798-E5C9B5567E3C}"/>
                </c:ext>
              </c:extLst>
            </c:dLbl>
            <c:dLbl>
              <c:idx val="5"/>
              <c:tx>
                <c:rich>
                  <a:bodyPr/>
                  <a:lstStyle/>
                  <a:p>
                    <a:fld id="{EC28B52C-3FFF-E244-8A05-90BC4AD717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8814-3841-B798-E5C9B5567E3C}"/>
                </c:ext>
              </c:extLst>
            </c:dLbl>
            <c:dLbl>
              <c:idx val="6"/>
              <c:tx>
                <c:rich>
                  <a:bodyPr/>
                  <a:lstStyle/>
                  <a:p>
                    <a:fld id="{471BBCD9-AF3D-8C45-B4DB-443EF7EC79A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8814-3841-B798-E5C9B5567E3C}"/>
                </c:ext>
              </c:extLst>
            </c:dLbl>
            <c:dLbl>
              <c:idx val="7"/>
              <c:tx>
                <c:rich>
                  <a:bodyPr/>
                  <a:lstStyle/>
                  <a:p>
                    <a:fld id="{8C2EF24B-41A2-494E-AD25-A1A625BD9E3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8814-3841-B798-E5C9B5567E3C}"/>
                </c:ext>
              </c:extLst>
            </c:dLbl>
            <c:dLbl>
              <c:idx val="8"/>
              <c:tx>
                <c:rich>
                  <a:bodyPr/>
                  <a:lstStyle/>
                  <a:p>
                    <a:fld id="{E3E91AB7-F4ED-8446-84A5-F2E062AD338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8814-3841-B798-E5C9B5567E3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Calcs!$Q$31:$Q$39</c:f>
              <c:numCache>
                <c:formatCode>General</c:formatCode>
                <c:ptCount val="9"/>
                <c:pt idx="0" formatCode="0">
                  <c:v>12</c:v>
                </c:pt>
                <c:pt idx="1">
                  <c:v>34</c:v>
                </c:pt>
                <c:pt idx="2">
                  <c:v>55</c:v>
                </c:pt>
                <c:pt idx="3">
                  <c:v>73</c:v>
                </c:pt>
                <c:pt idx="4">
                  <c:v>91</c:v>
                </c:pt>
                <c:pt idx="5">
                  <c:v>114.5</c:v>
                </c:pt>
                <c:pt idx="6">
                  <c:v>38</c:v>
                </c:pt>
                <c:pt idx="7">
                  <c:v>38</c:v>
                </c:pt>
                <c:pt idx="8">
                  <c:v>310</c:v>
                </c:pt>
              </c:numCache>
            </c:numRef>
          </c:xVal>
          <c:yVal>
            <c:numRef>
              <c:f>Calcs!$R$31:$R$39</c:f>
              <c:numCache>
                <c:formatCode>General</c:formatCode>
                <c:ptCount val="9"/>
                <c:pt idx="0">
                  <c:v>30</c:v>
                </c:pt>
                <c:pt idx="1">
                  <c:v>26</c:v>
                </c:pt>
                <c:pt idx="2">
                  <c:v>18</c:v>
                </c:pt>
                <c:pt idx="3">
                  <c:v>8.5</c:v>
                </c:pt>
                <c:pt idx="4">
                  <c:v>2</c:v>
                </c:pt>
                <c:pt idx="5">
                  <c:v>2</c:v>
                </c:pt>
                <c:pt idx="6">
                  <c:v>16</c:v>
                </c:pt>
                <c:pt idx="7">
                  <c:v>12</c:v>
                </c:pt>
                <c:pt idx="8">
                  <c:v>16</c:v>
                </c:pt>
              </c:numCache>
            </c:numRef>
          </c:yVal>
          <c:smooth val="0"/>
          <c:extLst>
            <c:ext xmlns:c15="http://schemas.microsoft.com/office/drawing/2012/chart" uri="{02D57815-91ED-43cb-92C2-25804820EDAC}">
              <c15:datalabelsRange>
                <c15:f>Calcs!$S$31:$S$39</c15:f>
                <c15:dlblRangeCache>
                  <c:ptCount val="9"/>
                  <c:pt idx="0">
                    <c:v>80</c:v>
                  </c:pt>
                  <c:pt idx="1">
                    <c:v>60</c:v>
                  </c:pt>
                  <c:pt idx="2">
                    <c:v>40</c:v>
                  </c:pt>
                  <c:pt idx="3">
                    <c:v>20</c:v>
                  </c:pt>
                  <c:pt idx="4">
                    <c:v>0</c:v>
                  </c:pt>
                  <c:pt idx="5">
                    <c:v>-20</c:v>
                  </c:pt>
                  <c:pt idx="6">
                    <c:v>HA: -6hr</c:v>
                  </c:pt>
                  <c:pt idx="7">
                    <c:v>Dec: #</c:v>
                  </c:pt>
                  <c:pt idx="8">
                    <c:v>HA: +6hr</c:v>
                  </c:pt>
                </c15:dlblRangeCache>
              </c15:datalabelsRange>
            </c:ext>
            <c:ext xmlns:c16="http://schemas.microsoft.com/office/drawing/2014/chart" uri="{C3380CC4-5D6E-409C-BE32-E72D297353CC}">
              <c16:uniqueId val="{0000002D-8814-3841-B798-E5C9B5567E3C}"/>
            </c:ext>
          </c:extLst>
        </c:ser>
        <c:ser>
          <c:idx val="14"/>
          <c:order val="14"/>
          <c:tx>
            <c:v>"Instrument"</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703FC962-5D1C-2F48-8F6B-28F99CAF03C6}" type="CELLRANGE">
                      <a:rPr lang="en-US"/>
                      <a:pPr>
                        <a:defRPr sz="1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8814-3841-B798-E5C9B5567E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PEPSI!$BO$42</c:f>
              <c:numCache>
                <c:formatCode>General</c:formatCode>
                <c:ptCount val="1"/>
                <c:pt idx="0">
                  <c:v>310</c:v>
                </c:pt>
              </c:numCache>
            </c:numRef>
          </c:xVal>
          <c:yVal>
            <c:numRef>
              <c:f>PEPSI!$BP$42</c:f>
              <c:numCache>
                <c:formatCode>General</c:formatCode>
                <c:ptCount val="1"/>
                <c:pt idx="0">
                  <c:v>90</c:v>
                </c:pt>
              </c:numCache>
            </c:numRef>
          </c:yVal>
          <c:smooth val="0"/>
          <c:extLst>
            <c:ext xmlns:c15="http://schemas.microsoft.com/office/drawing/2012/chart" uri="{02D57815-91ED-43cb-92C2-25804820EDAC}">
              <c15:datalabelsRange>
                <c15:f>PEPSI!$BQ$42</c15:f>
                <c15:dlblRangeCache>
                  <c:ptCount val="1"/>
                  <c:pt idx="0">
                    <c:v>PEPSI, UT=</c:v>
                  </c:pt>
                </c15:dlblRangeCache>
              </c15:datalabelsRange>
            </c:ext>
            <c:ext xmlns:c16="http://schemas.microsoft.com/office/drawing/2014/chart" uri="{C3380CC4-5D6E-409C-BE32-E72D297353CC}">
              <c16:uniqueId val="{0000002F-8814-3841-B798-E5C9B5567E3C}"/>
            </c:ext>
          </c:extLst>
        </c:ser>
        <c:ser>
          <c:idx val="15"/>
          <c:order val="15"/>
          <c:tx>
            <c:v>"UT"</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B3D16909-BE6A-9846-A6A9-6F64A7BFFE22}" type="CELLRANGE">
                      <a:rPr lang="en-US"/>
                      <a:pPr>
                        <a:defRPr sz="1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8814-3841-B798-E5C9B5567E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PEPSI!$BO$43</c:f>
              <c:numCache>
                <c:formatCode>General</c:formatCode>
                <c:ptCount val="1"/>
                <c:pt idx="0">
                  <c:v>350</c:v>
                </c:pt>
              </c:numCache>
            </c:numRef>
          </c:xVal>
          <c:yVal>
            <c:numRef>
              <c:f>PEPSI!$BP$43</c:f>
              <c:numCache>
                <c:formatCode>General</c:formatCode>
                <c:ptCount val="1"/>
                <c:pt idx="0">
                  <c:v>90</c:v>
                </c:pt>
              </c:numCache>
            </c:numRef>
          </c:yVal>
          <c:smooth val="0"/>
          <c:extLst>
            <c:ext xmlns:c15="http://schemas.microsoft.com/office/drawing/2012/chart" uri="{02D57815-91ED-43cb-92C2-25804820EDAC}">
              <c15:datalabelsRange>
                <c15:f>PEPSI!$BQ$43</c15:f>
                <c15:dlblRangeCache>
                  <c:ptCount val="1"/>
                  <c:pt idx="0">
                    <c:v>9.40</c:v>
                  </c:pt>
                </c15:dlblRangeCache>
              </c15:datalabelsRange>
            </c:ext>
            <c:ext xmlns:c16="http://schemas.microsoft.com/office/drawing/2014/chart" uri="{C3380CC4-5D6E-409C-BE32-E72D297353CC}">
              <c16:uniqueId val="{00000031-8814-3841-B798-E5C9B5567E3C}"/>
            </c:ext>
          </c:extLst>
        </c:ser>
        <c:ser>
          <c:idx val="16"/>
          <c:order val="16"/>
          <c:tx>
            <c:v>20-deg</c:v>
          </c:tx>
          <c:spPr>
            <a:ln w="25400" cap="rnd">
              <a:noFill/>
              <a:round/>
            </a:ln>
            <a:effectLst/>
          </c:spPr>
          <c:marker>
            <c:symbol val="circle"/>
            <c:size val="2"/>
            <c:spPr>
              <a:solidFill>
                <a:schemeClr val="bg1"/>
              </a:solidFill>
              <a:ln w="9525">
                <a:solidFill>
                  <a:schemeClr val="bg2">
                    <a:lumMod val="75000"/>
                  </a:schemeClr>
                </a:solidFill>
              </a:ln>
              <a:effectLst/>
            </c:spPr>
          </c:marker>
          <c:errBars>
            <c:errDir val="x"/>
            <c:errBarType val="both"/>
            <c:errValType val="cust"/>
            <c:noEndCap val="0"/>
            <c:plus>
              <c:numRef>
                <c:f>Calcs!$S$43:$S$47</c:f>
                <c:numCache>
                  <c:formatCode>General</c:formatCode>
                  <c:ptCount val="5"/>
                  <c:pt idx="0">
                    <c:v>5.019099187716737</c:v>
                  </c:pt>
                  <c:pt idx="1">
                    <c:v>5.5168895948124588</c:v>
                  </c:pt>
                  <c:pt idx="2">
                    <c:v>7.0710678118654746</c:v>
                  </c:pt>
                  <c:pt idx="3">
                    <c:v>11.831007915762493</c:v>
                  </c:pt>
                  <c:pt idx="4">
                    <c:v>38.306487877701905</c:v>
                  </c:pt>
                </c:numCache>
              </c:numRef>
            </c:plus>
            <c:minus>
              <c:numRef>
                <c:f>Calcs!$S$43:$S$47</c:f>
                <c:numCache>
                  <c:formatCode>General</c:formatCode>
                  <c:ptCount val="5"/>
                  <c:pt idx="0">
                    <c:v>5.019099187716737</c:v>
                  </c:pt>
                  <c:pt idx="1">
                    <c:v>5.5168895948124588</c:v>
                  </c:pt>
                  <c:pt idx="2">
                    <c:v>7.0710678118654746</c:v>
                  </c:pt>
                  <c:pt idx="3">
                    <c:v>11.831007915762493</c:v>
                  </c:pt>
                  <c:pt idx="4">
                    <c:v>38.306487877701905</c:v>
                  </c:pt>
                </c:numCache>
              </c:numRef>
            </c:minus>
            <c:spPr>
              <a:noFill/>
              <a:ln w="9525" cap="flat" cmpd="sng" algn="ctr">
                <a:solidFill>
                  <a:schemeClr val="bg1">
                    <a:lumMod val="65000"/>
                  </a:schemeClr>
                </a:solidFill>
                <a:round/>
              </a:ln>
              <a:effectLst/>
            </c:spPr>
          </c:errBars>
          <c:errBars>
            <c:errDir val="y"/>
            <c:errBarType val="both"/>
            <c:errValType val="cust"/>
            <c:noEndCap val="0"/>
            <c:plus>
              <c:numRef>
                <c:f>Calcs!$T$43:$T$47</c:f>
                <c:numCache>
                  <c:formatCode>General</c:formatCode>
                  <c:ptCount val="5"/>
                  <c:pt idx="0">
                    <c:v>5</c:v>
                  </c:pt>
                  <c:pt idx="1">
                    <c:v>5</c:v>
                  </c:pt>
                  <c:pt idx="2">
                    <c:v>5</c:v>
                  </c:pt>
                  <c:pt idx="3">
                    <c:v>5</c:v>
                  </c:pt>
                  <c:pt idx="4">
                    <c:v>5</c:v>
                  </c:pt>
                </c:numCache>
              </c:numRef>
            </c:plus>
            <c:minus>
              <c:numRef>
                <c:f>Calcs!$T$43:$T$47</c:f>
                <c:numCache>
                  <c:formatCode>General</c:formatCode>
                  <c:ptCount val="5"/>
                  <c:pt idx="0">
                    <c:v>5</c:v>
                  </c:pt>
                  <c:pt idx="1">
                    <c:v>5</c:v>
                  </c:pt>
                  <c:pt idx="2">
                    <c:v>5</c:v>
                  </c:pt>
                  <c:pt idx="3">
                    <c:v>5</c:v>
                  </c:pt>
                  <c:pt idx="4">
                    <c:v>5</c:v>
                  </c:pt>
                </c:numCache>
              </c:numRef>
            </c:minus>
            <c:spPr>
              <a:noFill/>
              <a:ln w="9525" cap="flat" cmpd="sng" algn="ctr">
                <a:solidFill>
                  <a:schemeClr val="bg1">
                    <a:lumMod val="65000"/>
                  </a:schemeClr>
                </a:solidFill>
                <a:round/>
              </a:ln>
              <a:effectLst/>
            </c:spPr>
          </c:errBars>
          <c:xVal>
            <c:numRef>
              <c:f>Calcs!$Q$43:$Q$47</c:f>
              <c:numCache>
                <c:formatCode>General</c:formatCode>
                <c:ptCount val="5"/>
                <c:pt idx="0">
                  <c:v>190</c:v>
                </c:pt>
                <c:pt idx="1">
                  <c:v>190</c:v>
                </c:pt>
                <c:pt idx="2">
                  <c:v>190</c:v>
                </c:pt>
                <c:pt idx="3">
                  <c:v>190</c:v>
                </c:pt>
                <c:pt idx="4">
                  <c:v>190</c:v>
                </c:pt>
              </c:numCache>
            </c:numRef>
          </c:xVal>
          <c:yVal>
            <c:numRef>
              <c:f>Calcs!$R$43:$R$47</c:f>
              <c:numCache>
                <c:formatCode>General</c:formatCode>
                <c:ptCount val="5"/>
                <c:pt idx="0">
                  <c:v>5</c:v>
                </c:pt>
                <c:pt idx="1">
                  <c:v>25</c:v>
                </c:pt>
                <c:pt idx="2">
                  <c:v>45</c:v>
                </c:pt>
                <c:pt idx="3">
                  <c:v>65</c:v>
                </c:pt>
                <c:pt idx="4">
                  <c:v>82.5</c:v>
                </c:pt>
              </c:numCache>
            </c:numRef>
          </c:yVal>
          <c:smooth val="0"/>
          <c:extLst>
            <c:ext xmlns:c16="http://schemas.microsoft.com/office/drawing/2014/chart" uri="{C3380CC4-5D6E-409C-BE32-E72D297353CC}">
              <c16:uniqueId val="{00000032-8814-3841-B798-E5C9B5567E3C}"/>
            </c:ext>
          </c:extLst>
        </c:ser>
        <c:ser>
          <c:idx val="17"/>
          <c:order val="17"/>
          <c:tx>
            <c:v>10 deg label</c:v>
          </c:tx>
          <c:spPr>
            <a:ln w="25400" cap="rnd">
              <a:noFill/>
              <a:round/>
            </a:ln>
            <a:effectLst/>
          </c:spPr>
          <c:marker>
            <c:symbol val="none"/>
          </c:marker>
          <c:dLbls>
            <c:dLbl>
              <c:idx val="0"/>
              <c:tx>
                <c:rich>
                  <a:bodyPr/>
                  <a:lstStyle/>
                  <a:p>
                    <a:fld id="{D2DEE281-5787-014A-9CC9-5A7B51C2F6E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8814-3841-B798-E5C9B5567E3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Calcs!$Q$48</c:f>
              <c:numCache>
                <c:formatCode>General</c:formatCode>
                <c:ptCount val="1"/>
                <c:pt idx="0">
                  <c:v>200</c:v>
                </c:pt>
              </c:numCache>
            </c:numRef>
          </c:xVal>
          <c:yVal>
            <c:numRef>
              <c:f>Calcs!$R$48</c:f>
              <c:numCache>
                <c:formatCode>General</c:formatCode>
                <c:ptCount val="1"/>
                <c:pt idx="0">
                  <c:v>7.5</c:v>
                </c:pt>
              </c:numCache>
            </c:numRef>
          </c:yVal>
          <c:smooth val="0"/>
          <c:extLst>
            <c:ext xmlns:c15="http://schemas.microsoft.com/office/drawing/2012/chart" uri="{02D57815-91ED-43cb-92C2-25804820EDAC}">
              <c15:datalabelsRange>
                <c15:f>Calcs!$S$48</c15:f>
                <c15:dlblRangeCache>
                  <c:ptCount val="1"/>
                  <c:pt idx="0">
                    <c:v>10-deg</c:v>
                  </c:pt>
                </c15:dlblRangeCache>
              </c15:datalabelsRange>
            </c:ext>
            <c:ext xmlns:c16="http://schemas.microsoft.com/office/drawing/2014/chart" uri="{C3380CC4-5D6E-409C-BE32-E72D297353CC}">
              <c16:uniqueId val="{00000034-8814-3841-B798-E5C9B5567E3C}"/>
            </c:ext>
          </c:extLst>
        </c:ser>
        <c:ser>
          <c:idx val="18"/>
          <c:order val="18"/>
          <c:tx>
            <c:v>Date</c:v>
          </c:tx>
          <c:spPr>
            <a:ln w="25400" cap="rnd">
              <a:noFill/>
              <a:round/>
            </a:ln>
            <a:effectLst/>
          </c:spPr>
          <c:marker>
            <c:symbol val="none"/>
          </c:marker>
          <c:dLbls>
            <c:dLbl>
              <c:idx val="0"/>
              <c:tx>
                <c:rich>
                  <a:bodyPr/>
                  <a:lstStyle/>
                  <a:p>
                    <a:fld id="{5CAB527A-5AE7-1945-B584-1F9625C04CB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14F-0C40-B7B2-8FE5B0C6FE8C}"/>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Calcs!$S$21</c:f>
              <c:numCache>
                <c:formatCode>General</c:formatCode>
                <c:ptCount val="1"/>
                <c:pt idx="0">
                  <c:v>40</c:v>
                </c:pt>
              </c:numCache>
            </c:numRef>
          </c:xVal>
          <c:yVal>
            <c:numRef>
              <c:f>Calcs!$T$21</c:f>
              <c:numCache>
                <c:formatCode>General</c:formatCode>
                <c:ptCount val="1"/>
                <c:pt idx="0">
                  <c:v>90</c:v>
                </c:pt>
              </c:numCache>
            </c:numRef>
          </c:yVal>
          <c:smooth val="0"/>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414F-0C40-B7B2-8FE5B0C6FE8C}"/>
            </c:ext>
          </c:extLst>
        </c:ser>
        <c:dLbls>
          <c:showLegendKey val="0"/>
          <c:showVal val="0"/>
          <c:showCatName val="0"/>
          <c:showSerName val="0"/>
          <c:showPercent val="0"/>
          <c:showBubbleSize val="0"/>
        </c:dLbls>
        <c:axId val="955863904"/>
        <c:axId val="496986544"/>
      </c:scatterChart>
      <c:valAx>
        <c:axId val="955863904"/>
        <c:scaling>
          <c:orientation val="minMax"/>
          <c:max val="36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baseline="0"/>
                  <a:t>N                                        E                                                  S            Azimuth (deg)        W                                       N</a:t>
                </a:r>
                <a:endParaRPr lang="en-US" sz="1400" b="1"/>
              </a:p>
            </c:rich>
          </c:tx>
          <c:layout>
            <c:manualLayout>
              <c:xMode val="edge"/>
              <c:yMode val="edge"/>
              <c:x val="0.13250306742575427"/>
              <c:y val="0.92373325545889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6986544"/>
        <c:crosses val="autoZero"/>
        <c:crossBetween val="midCat"/>
        <c:majorUnit val="20"/>
      </c:valAx>
      <c:valAx>
        <c:axId val="496986544"/>
        <c:scaling>
          <c:orientation val="minMax"/>
          <c:max val="9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Altitude (deg)</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5863904"/>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100000">
          <a:schemeClr val="accent5">
            <a:lumMod val="30000"/>
            <a:lumOff val="70000"/>
          </a:schemeClr>
        </a:gs>
      </a:gsLst>
      <a:lin ang="27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Altitude through</a:t>
            </a:r>
            <a:r>
              <a:rPr lang="en-US" sz="1600" b="1" baseline="0"/>
              <a:t> the night</a:t>
            </a:r>
            <a:endParaRPr lang="en-US" sz="1600" b="1"/>
          </a:p>
        </c:rich>
      </c:tx>
      <c:layout>
        <c:manualLayout>
          <c:xMode val="edge"/>
          <c:yMode val="edge"/>
          <c:x val="0.36643377715889958"/>
          <c:y val="2.8316192767828707E-2"/>
        </c:manualLayout>
      </c:layout>
      <c:overlay val="0"/>
      <c:spPr>
        <a:noFill/>
        <a:ln>
          <a:noFill/>
        </a:ln>
        <a:effectLst/>
      </c:spPr>
    </c:title>
    <c:autoTitleDeleted val="0"/>
    <c:plotArea>
      <c:layout/>
      <c:scatterChart>
        <c:scatterStyle val="smoothMarker"/>
        <c:varyColors val="0"/>
        <c:ser>
          <c:idx val="17"/>
          <c:order val="0"/>
          <c:tx>
            <c:v>Moon</c:v>
          </c:tx>
          <c:spPr>
            <a:ln w="15875" cap="rnd">
              <a:solidFill>
                <a:schemeClr val="tx1"/>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PEPSI!$AZ$5:$AZ$37</c:f>
              <c:numCache>
                <c:formatCode>0</c:formatCode>
                <c:ptCount val="33"/>
                <c:pt idx="0">
                  <c:v>15.857360496757829</c:v>
                </c:pt>
                <c:pt idx="1">
                  <c:v>10.217680608668887</c:v>
                </c:pt>
                <c:pt idx="2">
                  <c:v>4.3719928023574637</c:v>
                </c:pt>
                <c:pt idx="3">
                  <c:v>-1.6329306079357193</c:v>
                </c:pt>
                <c:pt idx="4">
                  <c:v>-7.7587954851544456</c:v>
                </c:pt>
                <c:pt idx="5">
                  <c:v>-13.973118424042072</c:v>
                </c:pt>
                <c:pt idx="6">
                  <c:v>-20.2468407919676</c:v>
                </c:pt>
                <c:pt idx="7">
                  <c:v>-26.551971561349109</c:v>
                </c:pt>
                <c:pt idx="8">
                  <c:v>-32.858876431809172</c:v>
                </c:pt>
                <c:pt idx="9">
                  <c:v>-39.132585589290542</c:v>
                </c:pt>
                <c:pt idx="10">
                  <c:v>-45.326971744722989</c:v>
                </c:pt>
                <c:pt idx="11">
                  <c:v>-51.374523143676782</c:v>
                </c:pt>
                <c:pt idx="12">
                  <c:v>-57.167038369940038</c:v>
                </c:pt>
                <c:pt idx="13">
                  <c:v>-62.518059504067331</c:v>
                </c:pt>
                <c:pt idx="14">
                  <c:v>-67.094051739215317</c:v>
                </c:pt>
                <c:pt idx="15">
                  <c:v>-70.328700754037143</c:v>
                </c:pt>
                <c:pt idx="16">
                  <c:v>-71.493655838546616</c:v>
                </c:pt>
                <c:pt idx="17">
                  <c:v>-70.216608924255567</c:v>
                </c:pt>
                <c:pt idx="18">
                  <c:v>-66.902056263995831</c:v>
                </c:pt>
                <c:pt idx="19">
                  <c:v>-62.278637111804599</c:v>
                </c:pt>
                <c:pt idx="20">
                  <c:v>-56.900681184640575</c:v>
                </c:pt>
                <c:pt idx="21">
                  <c:v>-51.092698537767014</c:v>
                </c:pt>
                <c:pt idx="22">
                  <c:v>-45.03617572231542</c:v>
                </c:pt>
                <c:pt idx="23">
                  <c:v>-38.836731401420941</c:v>
                </c:pt>
                <c:pt idx="24">
                  <c:v>-32.560526477767652</c:v>
                </c:pt>
                <c:pt idx="25">
                  <c:v>-26.252976378463654</c:v>
                </c:pt>
                <c:pt idx="26">
                  <c:v>-19.948689835251908</c:v>
                </c:pt>
                <c:pt idx="27">
                  <c:v>-13.677150992021119</c:v>
                </c:pt>
                <c:pt idx="28">
                  <c:v>-7.4663449551510865</c:v>
                </c:pt>
                <c:pt idx="29">
                  <c:v>-1.3454404045085029</c:v>
                </c:pt>
                <c:pt idx="30">
                  <c:v>4.652859215761362</c:v>
                </c:pt>
                <c:pt idx="31">
                  <c:v>10.489921292141169</c:v>
                </c:pt>
                <c:pt idx="32">
                  <c:v>16.118498732643513</c:v>
                </c:pt>
              </c:numCache>
            </c:numRef>
          </c:yVal>
          <c:smooth val="1"/>
          <c:extLst>
            <c:ext xmlns:c16="http://schemas.microsoft.com/office/drawing/2014/chart" uri="{C3380CC4-5D6E-409C-BE32-E72D297353CC}">
              <c16:uniqueId val="{00000000-3581-C84D-BA8C-1649F7CE982A}"/>
            </c:ext>
          </c:extLst>
        </c:ser>
        <c:ser>
          <c:idx val="0"/>
          <c:order val="1"/>
          <c:tx>
            <c:strRef>
              <c:f>PEPSI!$W$5</c:f>
              <c:strCache>
                <c:ptCount val="1"/>
                <c:pt idx="0">
                  <c:v>PETS-1518</c:v>
                </c:pt>
              </c:strCache>
            </c:strRef>
          </c:tx>
          <c:spPr>
            <a:ln w="9525" cap="rnd">
              <a:solidFill>
                <a:srgbClr val="0070C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PEPSI!$BA$5:$BA$37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1-3581-C84D-BA8C-1649F7CE982A}"/>
            </c:ext>
          </c:extLst>
        </c:ser>
        <c:ser>
          <c:idx val="1"/>
          <c:order val="2"/>
          <c:tx>
            <c:strRef>
              <c:f>PEPSI!$W$6</c:f>
              <c:strCache>
                <c:ptCount val="1"/>
                <c:pt idx="0">
                  <c:v>PETS-1431</c:v>
                </c:pt>
              </c:strCache>
            </c:strRef>
          </c:tx>
          <c:spPr>
            <a:ln w="9525" cap="rnd">
              <a:solidFill>
                <a:srgbClr val="FF000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PEPSI!$BB$5:$BB$37</c:f>
              <c:numCache>
                <c:formatCode>0</c:formatCode>
                <c:ptCount val="33"/>
                <c:pt idx="0">
                  <c:v>33.999449341732898</c:v>
                </c:pt>
                <c:pt idx="1">
                  <c:v>29.862874470708743</c:v>
                </c:pt>
                <c:pt idx="2">
                  <c:v>25.834478607391031</c:v>
                </c:pt>
                <c:pt idx="3">
                  <c:v>21.949487930465768</c:v>
                </c:pt>
                <c:pt idx="4">
                  <c:v>18.242241112648721</c:v>
                </c:pt>
                <c:pt idx="5">
                  <c:v>14.746968687500623</c:v>
                </c:pt>
                <c:pt idx="6">
                  <c:v>11.498161395420235</c:v>
                </c:pt>
                <c:pt idx="7">
                  <c:v>8.5305679149054221</c:v>
                </c:pt>
                <c:pt idx="8">
                  <c:v>5.878833132786804</c:v>
                </c:pt>
                <c:pt idx="9">
                  <c:v>3.5767829033995344</c:v>
                </c:pt>
                <c:pt idx="10">
                  <c:v>1.6563795584649681</c:v>
                </c:pt>
                <c:pt idx="11">
                  <c:v>0.14641237110122812</c:v>
                </c:pt>
                <c:pt idx="12">
                  <c:v>-0.92895841456014128</c:v>
                </c:pt>
                <c:pt idx="13">
                  <c:v>-1.5516313888656372</c:v>
                </c:pt>
                <c:pt idx="14">
                  <c:v>-1.7107624867934457</c:v>
                </c:pt>
                <c:pt idx="15">
                  <c:v>-1.4035360914783408</c:v>
                </c:pt>
                <c:pt idx="16">
                  <c:v>-0.6353718198513022</c:v>
                </c:pt>
                <c:pt idx="17">
                  <c:v>0.58047108945499704</c:v>
                </c:pt>
                <c:pt idx="18">
                  <c:v>2.2238194316455404</c:v>
                </c:pt>
                <c:pt idx="19">
                  <c:v>4.2688807842298298</c:v>
                </c:pt>
                <c:pt idx="20">
                  <c:v>6.6857029977708535</c:v>
                </c:pt>
                <c:pt idx="21">
                  <c:v>9.441599966129349</c:v>
                </c:pt>
                <c:pt idx="22">
                  <c:v>12.502386989145334</c:v>
                </c:pt>
                <c:pt idx="23">
                  <c:v>15.833325240620029</c:v>
                </c:pt>
                <c:pt idx="24">
                  <c:v>19.399725892307753</c:v>
                </c:pt>
                <c:pt idx="25">
                  <c:v>23.167197961061394</c:v>
                </c:pt>
                <c:pt idx="26">
                  <c:v>27.101534839686057</c:v>
                </c:pt>
                <c:pt idx="27">
                  <c:v>31.168221723113156</c:v>
                </c:pt>
                <c:pt idx="28">
                  <c:v>35.331508843383723</c:v>
                </c:pt>
                <c:pt idx="29">
                  <c:v>39.552929444359805</c:v>
                </c:pt>
                <c:pt idx="30">
                  <c:v>43.789037560171238</c:v>
                </c:pt>
                <c:pt idx="31">
                  <c:v>47.98798696108318</c:v>
                </c:pt>
                <c:pt idx="32">
                  <c:v>52.084371714298726</c:v>
                </c:pt>
              </c:numCache>
            </c:numRef>
          </c:yVal>
          <c:smooth val="1"/>
          <c:extLst>
            <c:ext xmlns:c16="http://schemas.microsoft.com/office/drawing/2014/chart" uri="{C3380CC4-5D6E-409C-BE32-E72D297353CC}">
              <c16:uniqueId val="{00000002-3581-C84D-BA8C-1649F7CE982A}"/>
            </c:ext>
          </c:extLst>
        </c:ser>
        <c:ser>
          <c:idx val="2"/>
          <c:order val="3"/>
          <c:tx>
            <c:strRef>
              <c:f>PEPSI!$W$7</c:f>
              <c:strCache>
                <c:ptCount val="1"/>
                <c:pt idx="0">
                  <c:v>TIC3071</c:v>
                </c:pt>
              </c:strCache>
            </c:strRef>
          </c:tx>
          <c:spPr>
            <a:ln w="9525" cap="rnd">
              <a:solidFill>
                <a:srgbClr val="0070C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PEPSI!$BC$5:$BC$37</c:f>
              <c:numCache>
                <c:formatCode>0</c:formatCode>
                <c:ptCount val="33"/>
                <c:pt idx="0">
                  <c:v>67.517201782932318</c:v>
                </c:pt>
                <c:pt idx="1">
                  <c:v>64.036018505325202</c:v>
                </c:pt>
                <c:pt idx="2">
                  <c:v>59.993285689581732</c:v>
                </c:pt>
                <c:pt idx="3">
                  <c:v>55.614134894203403</c:v>
                </c:pt>
                <c:pt idx="4">
                  <c:v>51.043562344542011</c:v>
                </c:pt>
                <c:pt idx="5">
                  <c:v>46.377071292031481</c:v>
                </c:pt>
                <c:pt idx="6">
                  <c:v>41.681328890624727</c:v>
                </c:pt>
                <c:pt idx="7">
                  <c:v>37.006505597031087</c:v>
                </c:pt>
                <c:pt idx="8">
                  <c:v>32.393515652285558</c:v>
                </c:pt>
                <c:pt idx="9">
                  <c:v>27.878352986023245</c:v>
                </c:pt>
                <c:pt idx="10">
                  <c:v>23.494776248785154</c:v>
                </c:pt>
                <c:pt idx="11">
                  <c:v>19.27602124828044</c:v>
                </c:pt>
                <c:pt idx="12">
                  <c:v>15.255895181586451</c:v>
                </c:pt>
                <c:pt idx="13">
                  <c:v>11.469424203413862</c:v>
                </c:pt>
                <c:pt idx="14">
                  <c:v>7.9531190149753606</c:v>
                </c:pt>
                <c:pt idx="15">
                  <c:v>4.7448599302979755</c:v>
                </c:pt>
                <c:pt idx="16">
                  <c:v>1.8833705439080775</c:v>
                </c:pt>
                <c:pt idx="17">
                  <c:v>-0.5927536588992276</c:v>
                </c:pt>
                <c:pt idx="18">
                  <c:v>-2.6464648221037139</c:v>
                </c:pt>
                <c:pt idx="19">
                  <c:v>-4.244067380718624</c:v>
                </c:pt>
                <c:pt idx="20">
                  <c:v>-5.3572510256685284</c:v>
                </c:pt>
                <c:pt idx="21">
                  <c:v>-5.9650973606161539</c:v>
                </c:pt>
                <c:pt idx="22">
                  <c:v>-6.0557426110782178</c:v>
                </c:pt>
                <c:pt idx="23">
                  <c:v>-5.6273898899469001</c:v>
                </c:pt>
                <c:pt idx="24">
                  <c:v>-4.6884669316224103</c:v>
                </c:pt>
                <c:pt idx="25">
                  <c:v>-3.256896359198624</c:v>
                </c:pt>
                <c:pt idx="26">
                  <c:v>-1.3586283100123502</c:v>
                </c:pt>
                <c:pt idx="27">
                  <c:v>0.97428367224259049</c:v>
                </c:pt>
                <c:pt idx="28">
                  <c:v>3.7057397218900126</c:v>
                </c:pt>
                <c:pt idx="29">
                  <c:v>6.797500971119077</c:v>
                </c:pt>
                <c:pt idx="30">
                  <c:v>10.210754878693139</c:v>
                </c:pt>
                <c:pt idx="31">
                  <c:v>13.907245167781513</c:v>
                </c:pt>
                <c:pt idx="32">
                  <c:v>17.849950334707632</c:v>
                </c:pt>
              </c:numCache>
            </c:numRef>
          </c:yVal>
          <c:smooth val="1"/>
          <c:extLst>
            <c:ext xmlns:c16="http://schemas.microsoft.com/office/drawing/2014/chart" uri="{C3380CC4-5D6E-409C-BE32-E72D297353CC}">
              <c16:uniqueId val="{00000003-3581-C84D-BA8C-1649F7CE982A}"/>
            </c:ext>
          </c:extLst>
        </c:ser>
        <c:ser>
          <c:idx val="3"/>
          <c:order val="4"/>
          <c:tx>
            <c:strRef>
              <c:f>PEPSI!$W$8</c:f>
              <c:strCache>
                <c:ptCount val="1"/>
                <c:pt idx="0">
                  <c:v>TIC5285</c:v>
                </c:pt>
              </c:strCache>
            </c:strRef>
          </c:tx>
          <c:spPr>
            <a:ln w="9525" cap="rnd">
              <a:solidFill>
                <a:srgbClr val="0070C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PEPSI!$BD$5:$BD$37</c:f>
              <c:numCache>
                <c:formatCode>0</c:formatCode>
                <c:ptCount val="33"/>
                <c:pt idx="0">
                  <c:v>60.045299056741825</c:v>
                </c:pt>
                <c:pt idx="1">
                  <c:v>58.139462211336351</c:v>
                </c:pt>
                <c:pt idx="2">
                  <c:v>55.670229547813605</c:v>
                </c:pt>
                <c:pt idx="3">
                  <c:v>52.77185679842102</c:v>
                </c:pt>
                <c:pt idx="4">
                  <c:v>49.563374131874461</c:v>
                </c:pt>
                <c:pt idx="5">
                  <c:v>46.143644900195568</c:v>
                </c:pt>
                <c:pt idx="6">
                  <c:v>42.592824902158725</c:v>
                </c:pt>
                <c:pt idx="7">
                  <c:v>38.976073577705598</c:v>
                </c:pt>
                <c:pt idx="8">
                  <c:v>35.347415490351622</c:v>
                </c:pt>
                <c:pt idx="9">
                  <c:v>31.752989137161709</c:v>
                </c:pt>
                <c:pt idx="10">
                  <c:v>28.23354199970592</c:v>
                </c:pt>
                <c:pt idx="11">
                  <c:v>24.826250120673667</c:v>
                </c:pt>
                <c:pt idx="12">
                  <c:v>21.565984620185777</c:v>
                </c:pt>
                <c:pt idx="13">
                  <c:v>18.486130332359121</c:v>
                </c:pt>
                <c:pt idx="14">
                  <c:v>15.619031034654531</c:v>
                </c:pt>
                <c:pt idx="15">
                  <c:v>12.996109469571813</c:v>
                </c:pt>
                <c:pt idx="16">
                  <c:v>10.647694660795652</c:v>
                </c:pt>
                <c:pt idx="17">
                  <c:v>8.6025857899309948</c:v>
                </c:pt>
                <c:pt idx="18">
                  <c:v>6.8873910466101247</c:v>
                </c:pt>
                <c:pt idx="19">
                  <c:v>5.5256993263018499</c:v>
                </c:pt>
                <c:pt idx="20">
                  <c:v>4.5371676545285471</c:v>
                </c:pt>
                <c:pt idx="21">
                  <c:v>3.9366300801431211</c:v>
                </c:pt>
                <c:pt idx="22">
                  <c:v>3.7333451453730833</c:v>
                </c:pt>
                <c:pt idx="23">
                  <c:v>3.9304908098158355</c:v>
                </c:pt>
                <c:pt idx="24">
                  <c:v>4.5249847599382989</c:v>
                </c:pt>
                <c:pt idx="25">
                  <c:v>5.5076587388083773</c:v>
                </c:pt>
                <c:pt idx="26">
                  <c:v>6.8637591087768657</c:v>
                </c:pt>
                <c:pt idx="27">
                  <c:v>8.5736963549530127</c:v>
                </c:pt>
                <c:pt idx="28">
                  <c:v>10.613934956709853</c:v>
                </c:pt>
                <c:pt idx="29">
                  <c:v>12.957906481620649</c:v>
                </c:pt>
                <c:pt idx="30">
                  <c:v>15.576839873601017</c:v>
                </c:pt>
                <c:pt idx="31">
                  <c:v>18.440425666460357</c:v>
                </c:pt>
                <c:pt idx="32">
                  <c:v>21.517255890419381</c:v>
                </c:pt>
              </c:numCache>
            </c:numRef>
          </c:yVal>
          <c:smooth val="1"/>
          <c:extLst>
            <c:ext xmlns:c16="http://schemas.microsoft.com/office/drawing/2014/chart" uri="{C3380CC4-5D6E-409C-BE32-E72D297353CC}">
              <c16:uniqueId val="{00000004-3581-C84D-BA8C-1649F7CE982A}"/>
            </c:ext>
          </c:extLst>
        </c:ser>
        <c:ser>
          <c:idx val="4"/>
          <c:order val="5"/>
          <c:tx>
            <c:strRef>
              <c:f>PEPSI!$W$9</c:f>
              <c:strCache>
                <c:ptCount val="1"/>
                <c:pt idx="0">
                  <c:v>TIC3898</c:v>
                </c:pt>
              </c:strCache>
            </c:strRef>
          </c:tx>
          <c:spPr>
            <a:ln w="9525" cap="rnd">
              <a:solidFill>
                <a:srgbClr val="00B0F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PEPSI!$BE$5:$BE$37</c:f>
              <c:numCache>
                <c:formatCode>0</c:formatCode>
                <c:ptCount val="33"/>
                <c:pt idx="0">
                  <c:v>60.544456426341291</c:v>
                </c:pt>
                <c:pt idx="1">
                  <c:v>59.230033249761576</c:v>
                </c:pt>
                <c:pt idx="2">
                  <c:v>57.261450945290207</c:v>
                </c:pt>
                <c:pt idx="3">
                  <c:v>54.766098079713629</c:v>
                </c:pt>
                <c:pt idx="4">
                  <c:v>51.870238406246649</c:v>
                </c:pt>
                <c:pt idx="5">
                  <c:v>48.685391592437817</c:v>
                </c:pt>
                <c:pt idx="6">
                  <c:v>45.304579847803041</c:v>
                </c:pt>
                <c:pt idx="7">
                  <c:v>41.803846631913018</c:v>
                </c:pt>
                <c:pt idx="8">
                  <c:v>38.245613254605971</c:v>
                </c:pt>
                <c:pt idx="9">
                  <c:v>34.682137126489984</c:v>
                </c:pt>
                <c:pt idx="10">
                  <c:v>31.158430653520711</c:v>
                </c:pt>
                <c:pt idx="11">
                  <c:v>27.714514595158438</c:v>
                </c:pt>
                <c:pt idx="12">
                  <c:v>24.387066199501433</c:v>
                </c:pt>
                <c:pt idx="13">
                  <c:v>21.210562818895465</c:v>
                </c:pt>
                <c:pt idx="14">
                  <c:v>18.218009309338925</c:v>
                </c:pt>
                <c:pt idx="15">
                  <c:v>15.441312873148858</c:v>
                </c:pt>
                <c:pt idx="16">
                  <c:v>12.911348015947102</c:v>
                </c:pt>
                <c:pt idx="17">
                  <c:v>10.657742778540436</c:v>
                </c:pt>
                <c:pt idx="18">
                  <c:v>8.7084172315688502</c:v>
                </c:pt>
                <c:pt idx="19">
                  <c:v>7.0889161299187222</c:v>
                </c:pt>
                <c:pt idx="20">
                  <c:v>5.8215971999354501</c:v>
                </c:pt>
                <c:pt idx="21">
                  <c:v>4.9247597052791283</c:v>
                </c:pt>
                <c:pt idx="22">
                  <c:v>4.411817120115372</c:v>
                </c:pt>
                <c:pt idx="23">
                  <c:v>4.2906243553918992</c:v>
                </c:pt>
                <c:pt idx="24">
                  <c:v>4.563057400801025</c:v>
                </c:pt>
                <c:pt idx="25">
                  <c:v>5.2249100264067483</c:v>
                </c:pt>
                <c:pt idx="26">
                  <c:v>6.2661238299081381</c:v>
                </c:pt>
                <c:pt idx="27">
                  <c:v>7.6713155747954156</c:v>
                </c:pt>
                <c:pt idx="28">
                  <c:v>9.4205221522991565</c:v>
                </c:pt>
                <c:pt idx="29">
                  <c:v>11.490057954386517</c:v>
                </c:pt>
                <c:pt idx="30">
                  <c:v>13.853374764438705</c:v>
                </c:pt>
                <c:pt idx="31">
                  <c:v>16.481826689913465</c:v>
                </c:pt>
                <c:pt idx="32">
                  <c:v>19.345264392037549</c:v>
                </c:pt>
              </c:numCache>
            </c:numRef>
          </c:yVal>
          <c:smooth val="1"/>
          <c:extLst>
            <c:ext xmlns:c16="http://schemas.microsoft.com/office/drawing/2014/chart" uri="{C3380CC4-5D6E-409C-BE32-E72D297353CC}">
              <c16:uniqueId val="{00000005-3581-C84D-BA8C-1649F7CE982A}"/>
            </c:ext>
          </c:extLst>
        </c:ser>
        <c:ser>
          <c:idx val="18"/>
          <c:order val="6"/>
          <c:tx>
            <c:strRef>
              <c:f>PEPSI!$W$10</c:f>
              <c:strCache>
                <c:ptCount val="1"/>
                <c:pt idx="0">
                  <c:v>TIC2864</c:v>
                </c:pt>
              </c:strCache>
            </c:strRef>
          </c:tx>
          <c:spPr>
            <a:ln w="9525" cap="rnd">
              <a:solidFill>
                <a:srgbClr val="00B0F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PEPSI!$BF$5:$BF$37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6-3581-C84D-BA8C-1649F7CE982A}"/>
            </c:ext>
          </c:extLst>
        </c:ser>
        <c:ser>
          <c:idx val="20"/>
          <c:order val="7"/>
          <c:tx>
            <c:strRef>
              <c:f>PEPSI!$W$11</c:f>
              <c:strCache>
                <c:ptCount val="1"/>
                <c:pt idx="0">
                  <c:v>TIC3922</c:v>
                </c:pt>
              </c:strCache>
            </c:strRef>
          </c:tx>
          <c:spPr>
            <a:ln w="9525" cap="rnd">
              <a:solidFill>
                <a:srgbClr val="0070C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PEPSI!$BG$5:$BG$37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7-3581-C84D-BA8C-1649F7CE982A}"/>
            </c:ext>
          </c:extLst>
        </c:ser>
        <c:ser>
          <c:idx val="21"/>
          <c:order val="8"/>
          <c:tx>
            <c:strRef>
              <c:f>PEPSI!$W$12</c:f>
              <c:strCache>
                <c:ptCount val="1"/>
                <c:pt idx="0">
                  <c:v>TIC2600</c:v>
                </c:pt>
              </c:strCache>
            </c:strRef>
          </c:tx>
          <c:spPr>
            <a:ln w="9525" cap="rnd">
              <a:solidFill>
                <a:schemeClr val="accent4">
                  <a:lumMod val="80000"/>
                </a:schemeClr>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PEPSI!$BH$5:$BH$37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8-3581-C84D-BA8C-1649F7CE982A}"/>
            </c:ext>
          </c:extLst>
        </c:ser>
        <c:ser>
          <c:idx val="22"/>
          <c:order val="9"/>
          <c:tx>
            <c:strRef>
              <c:f>PEPSI!$W$13</c:f>
              <c:strCache>
                <c:ptCount val="1"/>
                <c:pt idx="0">
                  <c:v>TIC4541</c:v>
                </c:pt>
              </c:strCache>
            </c:strRef>
          </c:tx>
          <c:spPr>
            <a:ln w="12700" cap="rnd">
              <a:solidFill>
                <a:srgbClr val="00B0F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PEPSI!$BI$5:$BI$37</c:f>
              <c:numCache>
                <c:formatCode>0</c:formatCode>
                <c:ptCount val="33"/>
                <c:pt idx="0">
                  <c:v>45.862161947387705</c:v>
                </c:pt>
                <c:pt idx="1">
                  <c:v>50.416946069797064</c:v>
                </c:pt>
                <c:pt idx="2">
                  <c:v>54.163908536452361</c:v>
                </c:pt>
                <c:pt idx="3">
                  <c:v>56.820754658322933</c:v>
                </c:pt>
                <c:pt idx="4">
                  <c:v>58.108986425226952</c:v>
                </c:pt>
                <c:pt idx="5">
                  <c:v>57.86144504445128</c:v>
                </c:pt>
                <c:pt idx="6">
                  <c:v>56.112151633347544</c:v>
                </c:pt>
                <c:pt idx="7">
                  <c:v>53.076506553790935</c:v>
                </c:pt>
                <c:pt idx="8">
                  <c:v>49.043968680249542</c:v>
                </c:pt>
                <c:pt idx="9">
                  <c:v>44.283610247461127</c:v>
                </c:pt>
                <c:pt idx="10">
                  <c:v>39.006375246348014</c:v>
                </c:pt>
                <c:pt idx="11">
                  <c:v>33.365576194621141</c:v>
                </c:pt>
                <c:pt idx="12">
                  <c:v>27.470131807235319</c:v>
                </c:pt>
                <c:pt idx="13">
                  <c:v>21.398087672333755</c:v>
                </c:pt>
                <c:pt idx="14">
                  <c:v>15.207045753827861</c:v>
                </c:pt>
                <c:pt idx="15">
                  <c:v>8.9415626640699237</c:v>
                </c:pt>
                <c:pt idx="16">
                  <c:v>2.6383705688819354</c:v>
                </c:pt>
                <c:pt idx="17">
                  <c:v>-3.6697524990908996</c:v>
                </c:pt>
                <c:pt idx="18">
                  <c:v>-9.950808237938368</c:v>
                </c:pt>
                <c:pt idx="19">
                  <c:v>-16.170570552293466</c:v>
                </c:pt>
                <c:pt idx="20">
                  <c:v>-22.28925725428018</c:v>
                </c:pt>
                <c:pt idx="21">
                  <c:v>-28.257352946103307</c:v>
                </c:pt>
                <c:pt idx="22">
                  <c:v>-34.00995815764049</c:v>
                </c:pt>
                <c:pt idx="23">
                  <c:v>-39.458982089007591</c:v>
                </c:pt>
                <c:pt idx="24">
                  <c:v>-44.482799337249425</c:v>
                </c:pt>
                <c:pt idx="25">
                  <c:v>-48.91454815982641</c:v>
                </c:pt>
                <c:pt idx="26">
                  <c:v>-52.534874613928409</c:v>
                </c:pt>
                <c:pt idx="27">
                  <c:v>-55.08390824451638</c:v>
                </c:pt>
                <c:pt idx="28">
                  <c:v>-56.313321851024739</c:v>
                </c:pt>
                <c:pt idx="29">
                  <c:v>-56.077448494274677</c:v>
                </c:pt>
                <c:pt idx="30">
                  <c:v>-54.405742848325275</c:v>
                </c:pt>
                <c:pt idx="31">
                  <c:v>-51.487004717602865</c:v>
                </c:pt>
                <c:pt idx="32">
                  <c:v>-47.581821485255055</c:v>
                </c:pt>
              </c:numCache>
            </c:numRef>
          </c:yVal>
          <c:smooth val="1"/>
          <c:extLst>
            <c:ext xmlns:c16="http://schemas.microsoft.com/office/drawing/2014/chart" uri="{C3380CC4-5D6E-409C-BE32-E72D297353CC}">
              <c16:uniqueId val="{00000009-3581-C84D-BA8C-1649F7CE982A}"/>
            </c:ext>
          </c:extLst>
        </c:ser>
        <c:ser>
          <c:idx val="23"/>
          <c:order val="10"/>
          <c:tx>
            <c:strRef>
              <c:f>PEPSI!$W$14</c:f>
              <c:strCache>
                <c:ptCount val="1"/>
                <c:pt idx="0">
                  <c:v>TIC3674</c:v>
                </c:pt>
              </c:strCache>
            </c:strRef>
          </c:tx>
          <c:spPr>
            <a:ln w="12700" cap="rnd">
              <a:solidFill>
                <a:srgbClr val="FF000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PEPSI!$BJ$5:$BJ$37</c:f>
              <c:numCache>
                <c:formatCode>0</c:formatCode>
                <c:ptCount val="33"/>
                <c:pt idx="0">
                  <c:v>52.128180695299839</c:v>
                </c:pt>
                <c:pt idx="1">
                  <c:v>58.167445589473019</c:v>
                </c:pt>
                <c:pt idx="2">
                  <c:v>64.243758227097189</c:v>
                </c:pt>
                <c:pt idx="3">
                  <c:v>70.33661605718828</c:v>
                </c:pt>
                <c:pt idx="4">
                  <c:v>76.408446556493203</c:v>
                </c:pt>
                <c:pt idx="5">
                  <c:v>82.333735644250936</c:v>
                </c:pt>
                <c:pt idx="6">
                  <c:v>86.923047779260699</c:v>
                </c:pt>
                <c:pt idx="7">
                  <c:v>83.910100893896782</c:v>
                </c:pt>
                <c:pt idx="8">
                  <c:v>78.105498125973483</c:v>
                </c:pt>
                <c:pt idx="9">
                  <c:v>72.053654941280271</c:v>
                </c:pt>
                <c:pt idx="10">
                  <c:v>65.961495424222889</c:v>
                </c:pt>
                <c:pt idx="11">
                  <c:v>59.878082397054357</c:v>
                </c:pt>
                <c:pt idx="12">
                  <c:v>53.826648752530666</c:v>
                </c:pt>
                <c:pt idx="13">
                  <c:v>47.823993118638455</c:v>
                </c:pt>
                <c:pt idx="14">
                  <c:v>41.885490133895701</c:v>
                </c:pt>
                <c:pt idx="15">
                  <c:v>36.026983302392679</c:v>
                </c:pt>
                <c:pt idx="16">
                  <c:v>30.265799300909247</c:v>
                </c:pt>
                <c:pt idx="17">
                  <c:v>24.621493450722511</c:v>
                </c:pt>
                <c:pt idx="18">
                  <c:v>19.116530925186932</c:v>
                </c:pt>
                <c:pt idx="19">
                  <c:v>13.776979189379487</c:v>
                </c:pt>
                <c:pt idx="20">
                  <c:v>8.6332306399296854</c:v>
                </c:pt>
                <c:pt idx="21">
                  <c:v>3.7207334639705829</c:v>
                </c:pt>
                <c:pt idx="22">
                  <c:v>-0.91933802304243095</c:v>
                </c:pt>
                <c:pt idx="23">
                  <c:v>-5.2396052365696573</c:v>
                </c:pt>
                <c:pt idx="24">
                  <c:v>-9.1864127955440544</c:v>
                </c:pt>
                <c:pt idx="25">
                  <c:v>-12.700464815394719</c:v>
                </c:pt>
                <c:pt idx="26">
                  <c:v>-15.718535920722605</c:v>
                </c:pt>
                <c:pt idx="27">
                  <c:v>-18.176589886379592</c:v>
                </c:pt>
                <c:pt idx="28">
                  <c:v>-20.01441956836857</c:v>
                </c:pt>
                <c:pt idx="29">
                  <c:v>-21.181461346424975</c:v>
                </c:pt>
                <c:pt idx="30">
                  <c:v>-21.642819644043801</c:v>
                </c:pt>
                <c:pt idx="31">
                  <c:v>-21.384052998878477</c:v>
                </c:pt>
                <c:pt idx="32">
                  <c:v>-20.413307898187451</c:v>
                </c:pt>
              </c:numCache>
            </c:numRef>
          </c:yVal>
          <c:smooth val="1"/>
          <c:extLst>
            <c:ext xmlns:c16="http://schemas.microsoft.com/office/drawing/2014/chart" uri="{C3380CC4-5D6E-409C-BE32-E72D297353CC}">
              <c16:uniqueId val="{0000000A-3581-C84D-BA8C-1649F7CE982A}"/>
            </c:ext>
          </c:extLst>
        </c:ser>
        <c:ser>
          <c:idx val="24"/>
          <c:order val="11"/>
          <c:tx>
            <c:strRef>
              <c:f>PEPSI!$W$15</c:f>
              <c:strCache>
                <c:ptCount val="1"/>
                <c:pt idx="0">
                  <c:v>TIC3178</c:v>
                </c:pt>
              </c:strCache>
            </c:strRef>
          </c:tx>
          <c:spPr>
            <a:ln w="19050" cap="rnd">
              <a:solidFill>
                <a:schemeClr val="accent1">
                  <a:lumMod val="60000"/>
                  <a:lumOff val="40000"/>
                </a:schemeClr>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PEPSI!$BK$5:$BK$37</c:f>
              <c:numCache>
                <c:formatCode>0</c:formatCode>
                <c:ptCount val="33"/>
                <c:pt idx="0">
                  <c:v>11.462903814717745</c:v>
                </c:pt>
                <c:pt idx="1">
                  <c:v>17.739359271588601</c:v>
                </c:pt>
                <c:pt idx="2">
                  <c:v>23.948451676476811</c:v>
                </c:pt>
                <c:pt idx="3">
                  <c:v>30.04518905290233</c:v>
                </c:pt>
                <c:pt idx="4">
                  <c:v>35.970654674183457</c:v>
                </c:pt>
                <c:pt idx="5">
                  <c:v>41.643605913849164</c:v>
                </c:pt>
                <c:pt idx="6">
                  <c:v>46.948150799830437</c:v>
                </c:pt>
                <c:pt idx="7">
                  <c:v>51.71704245280327</c:v>
                </c:pt>
                <c:pt idx="8">
                  <c:v>55.714482111014711</c:v>
                </c:pt>
                <c:pt idx="9">
                  <c:v>58.635118021348418</c:v>
                </c:pt>
                <c:pt idx="10">
                  <c:v>60.155102931783382</c:v>
                </c:pt>
                <c:pt idx="11">
                  <c:v>60.057524051417161</c:v>
                </c:pt>
                <c:pt idx="12">
                  <c:v>58.357508760743606</c:v>
                </c:pt>
                <c:pt idx="13">
                  <c:v>55.292456396386889</c:v>
                </c:pt>
                <c:pt idx="14">
                  <c:v>51.189277765869122</c:v>
                </c:pt>
                <c:pt idx="15">
                  <c:v>46.346372467516971</c:v>
                </c:pt>
                <c:pt idx="16">
                  <c:v>40.990826987145056</c:v>
                </c:pt>
                <c:pt idx="17">
                  <c:v>35.282862333309026</c:v>
                </c:pt>
                <c:pt idx="18">
                  <c:v>29.333490617766479</c:v>
                </c:pt>
                <c:pt idx="19">
                  <c:v>23.220765920064757</c:v>
                </c:pt>
                <c:pt idx="20">
                  <c:v>17.001588248645724</c:v>
                </c:pt>
                <c:pt idx="21">
                  <c:v>10.719723808060177</c:v>
                </c:pt>
                <c:pt idx="22">
                  <c:v>4.4112835494730485</c:v>
                </c:pt>
                <c:pt idx="23">
                  <c:v>-1.8913152661639951</c:v>
                </c:pt>
                <c:pt idx="24">
                  <c:v>-8.156161386074757</c:v>
                </c:pt>
                <c:pt idx="25">
                  <c:v>-14.348877569989378</c:v>
                </c:pt>
                <c:pt idx="26">
                  <c:v>-20.429386139476051</c:v>
                </c:pt>
                <c:pt idx="27">
                  <c:v>-26.347932817305256</c:v>
                </c:pt>
                <c:pt idx="28">
                  <c:v>-32.03985002257393</c:v>
                </c:pt>
                <c:pt idx="29">
                  <c:v>-37.418570536387726</c:v>
                </c:pt>
                <c:pt idx="30">
                  <c:v>-42.366800364273502</c:v>
                </c:pt>
                <c:pt idx="31">
                  <c:v>-46.727248463351216</c:v>
                </c:pt>
                <c:pt idx="32">
                  <c:v>-50.298143005481123</c:v>
                </c:pt>
              </c:numCache>
            </c:numRef>
          </c:yVal>
          <c:smooth val="1"/>
          <c:extLst>
            <c:ext xmlns:c16="http://schemas.microsoft.com/office/drawing/2014/chart" uri="{C3380CC4-5D6E-409C-BE32-E72D297353CC}">
              <c16:uniqueId val="{0000000B-3581-C84D-BA8C-1649F7CE982A}"/>
            </c:ext>
          </c:extLst>
        </c:ser>
        <c:ser>
          <c:idx val="25"/>
          <c:order val="12"/>
          <c:tx>
            <c:strRef>
              <c:f>PEPSI!$W$16</c:f>
              <c:strCache>
                <c:ptCount val="1"/>
                <c:pt idx="0">
                  <c:v>TIC7329</c:v>
                </c:pt>
              </c:strCache>
            </c:strRef>
          </c:tx>
          <c:spPr>
            <a:ln w="19050" cap="rnd">
              <a:solidFill>
                <a:srgbClr val="00B0F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PEPSI!$BL$5:$BL$37</c:f>
              <c:numCache>
                <c:formatCode>0</c:formatCode>
                <c:ptCount val="33"/>
                <c:pt idx="0">
                  <c:v>-0.81615094037976321</c:v>
                </c:pt>
                <c:pt idx="1">
                  <c:v>5.4646895706297745</c:v>
                </c:pt>
                <c:pt idx="2">
                  <c:v>11.685315774008501</c:v>
                </c:pt>
                <c:pt idx="3">
                  <c:v>17.80823024965213</c:v>
                </c:pt>
                <c:pt idx="4">
                  <c:v>23.787902647892064</c:v>
                </c:pt>
                <c:pt idx="5">
                  <c:v>29.566133109754901</c:v>
                </c:pt>
                <c:pt idx="6">
                  <c:v>35.065886708607984</c:v>
                </c:pt>
                <c:pt idx="7">
                  <c:v>40.183314575684008</c:v>
                </c:pt>
                <c:pt idx="8">
                  <c:v>44.778624238022232</c:v>
                </c:pt>
                <c:pt idx="9">
                  <c:v>48.669166303215263</c:v>
                </c:pt>
                <c:pt idx="10">
                  <c:v>51.633560615496471</c:v>
                </c:pt>
                <c:pt idx="11">
                  <c:v>53.441314795753044</c:v>
                </c:pt>
                <c:pt idx="12">
                  <c:v>53.915632156408378</c:v>
                </c:pt>
                <c:pt idx="13">
                  <c:v>53.004569045698759</c:v>
                </c:pt>
                <c:pt idx="14">
                  <c:v>50.805744901891259</c:v>
                </c:pt>
                <c:pt idx="15">
                  <c:v>47.521328456831824</c:v>
                </c:pt>
                <c:pt idx="16">
                  <c:v>43.38423228455067</c:v>
                </c:pt>
                <c:pt idx="17">
                  <c:v>38.605206679684585</c:v>
                </c:pt>
                <c:pt idx="18">
                  <c:v>33.352942528055706</c:v>
                </c:pt>
                <c:pt idx="19">
                  <c:v>27.754833613231686</c:v>
                </c:pt>
                <c:pt idx="20">
                  <c:v>21.905235198247542</c:v>
                </c:pt>
                <c:pt idx="21">
                  <c:v>15.874414492484529</c:v>
                </c:pt>
                <c:pt idx="22">
                  <c:v>9.7159562771729426</c:v>
                </c:pt>
                <c:pt idx="23">
                  <c:v>3.4723931838795448</c:v>
                </c:pt>
                <c:pt idx="24">
                  <c:v>-2.8205409941803588</c:v>
                </c:pt>
                <c:pt idx="25">
                  <c:v>-9.1305292516240346</c:v>
                </c:pt>
                <c:pt idx="26">
                  <c:v>-15.425680753190413</c:v>
                </c:pt>
                <c:pt idx="27">
                  <c:v>-21.671463802792868</c:v>
                </c:pt>
                <c:pt idx="28">
                  <c:v>-27.827035797732236</c:v>
                </c:pt>
                <c:pt idx="29">
                  <c:v>-33.840282906393909</c:v>
                </c:pt>
                <c:pt idx="30">
                  <c:v>-39.640607472262317</c:v>
                </c:pt>
                <c:pt idx="31">
                  <c:v>-45.128195716925973</c:v>
                </c:pt>
                <c:pt idx="32">
                  <c:v>-50.158646571485207</c:v>
                </c:pt>
              </c:numCache>
            </c:numRef>
          </c:yVal>
          <c:smooth val="1"/>
          <c:extLst>
            <c:ext xmlns:c16="http://schemas.microsoft.com/office/drawing/2014/chart" uri="{C3380CC4-5D6E-409C-BE32-E72D297353CC}">
              <c16:uniqueId val="{0000000C-3581-C84D-BA8C-1649F7CE982A}"/>
            </c:ext>
          </c:extLst>
        </c:ser>
        <c:ser>
          <c:idx val="26"/>
          <c:order val="13"/>
          <c:tx>
            <c:strRef>
              <c:f>PEPSI!$W$17</c:f>
              <c:strCache>
                <c:ptCount val="1"/>
                <c:pt idx="0">
                  <c:v>TIC4344</c:v>
                </c:pt>
              </c:strCache>
            </c:strRef>
          </c:tx>
          <c:spPr>
            <a:ln w="19050" cap="rnd">
              <a:solidFill>
                <a:srgbClr val="00B0F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PEPSI!$BM$5:$BM$37</c:f>
              <c:numCache>
                <c:formatCode>0</c:formatCode>
                <c:ptCount val="33"/>
                <c:pt idx="0">
                  <c:v>-25.298706443977157</c:v>
                </c:pt>
                <c:pt idx="1">
                  <c:v>-19.101673911453926</c:v>
                </c:pt>
                <c:pt idx="2">
                  <c:v>-12.991061943472083</c:v>
                </c:pt>
                <c:pt idx="3">
                  <c:v>-6.9931671583320538</c:v>
                </c:pt>
                <c:pt idx="4">
                  <c:v>-1.1382246165515584</c:v>
                </c:pt>
                <c:pt idx="5">
                  <c:v>4.5378234959084036</c:v>
                </c:pt>
                <c:pt idx="6">
                  <c:v>9.9914005202160681</c:v>
                </c:pt>
                <c:pt idx="7">
                  <c:v>15.169186203698654</c:v>
                </c:pt>
                <c:pt idx="8">
                  <c:v>20.005962869816482</c:v>
                </c:pt>
                <c:pt idx="9">
                  <c:v>24.422828009618581</c:v>
                </c:pt>
                <c:pt idx="10">
                  <c:v>28.326620512578874</c:v>
                </c:pt>
                <c:pt idx="11">
                  <c:v>31.611962011702083</c:v>
                </c:pt>
                <c:pt idx="12">
                  <c:v>34.167687550968949</c:v>
                </c:pt>
                <c:pt idx="13">
                  <c:v>35.888927951290142</c:v>
                </c:pt>
                <c:pt idx="14">
                  <c:v>36.693894341000671</c:v>
                </c:pt>
                <c:pt idx="15">
                  <c:v>36.540779699353031</c:v>
                </c:pt>
                <c:pt idx="16">
                  <c:v>35.437723075965764</c:v>
                </c:pt>
                <c:pt idx="17">
                  <c:v>33.440798727373178</c:v>
                </c:pt>
                <c:pt idx="18">
                  <c:v>30.641093541102304</c:v>
                </c:pt>
                <c:pt idx="19">
                  <c:v>27.147130239874386</c:v>
                </c:pt>
                <c:pt idx="20">
                  <c:v>23.069264880050895</c:v>
                </c:pt>
                <c:pt idx="21">
                  <c:v>18.509443419507072</c:v>
                </c:pt>
                <c:pt idx="22">
                  <c:v>13.556355786053862</c:v>
                </c:pt>
                <c:pt idx="23">
                  <c:v>8.2844101713766438</c:v>
                </c:pt>
                <c:pt idx="24">
                  <c:v>2.7548176160678102</c:v>
                </c:pt>
                <c:pt idx="25">
                  <c:v>-2.9824364099996403</c:v>
                </c:pt>
                <c:pt idx="26">
                  <c:v>-8.8864238231390953</c:v>
                </c:pt>
                <c:pt idx="27">
                  <c:v>-14.92321706246233</c:v>
                </c:pt>
                <c:pt idx="28">
                  <c:v>-21.064020356348347</c:v>
                </c:pt>
                <c:pt idx="29">
                  <c:v>-27.283428649167803</c:v>
                </c:pt>
                <c:pt idx="30">
                  <c:v>-33.557647037834457</c:v>
                </c:pt>
                <c:pt idx="31">
                  <c:v>-39.862358485889239</c:v>
                </c:pt>
                <c:pt idx="32">
                  <c:v>-46.16963184892672</c:v>
                </c:pt>
              </c:numCache>
            </c:numRef>
          </c:yVal>
          <c:smooth val="1"/>
          <c:extLst>
            <c:ext xmlns:c16="http://schemas.microsoft.com/office/drawing/2014/chart" uri="{C3380CC4-5D6E-409C-BE32-E72D297353CC}">
              <c16:uniqueId val="{0000000D-3581-C84D-BA8C-1649F7CE982A}"/>
            </c:ext>
          </c:extLst>
        </c:ser>
        <c:ser>
          <c:idx val="27"/>
          <c:order val="14"/>
          <c:tx>
            <c:strRef>
              <c:f>PEPSI!$W$18</c:f>
              <c:strCache>
                <c:ptCount val="1"/>
                <c:pt idx="0">
                  <c:v>TIC8927</c:v>
                </c:pt>
              </c:strCache>
            </c:strRef>
          </c:tx>
          <c:spPr>
            <a:ln w="12700" cap="rnd">
              <a:solidFill>
                <a:srgbClr val="00B0F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PEPSI!$BN$5:$BN$37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E-3581-C84D-BA8C-1649F7CE982A}"/>
            </c:ext>
          </c:extLst>
        </c:ser>
        <c:ser>
          <c:idx val="28"/>
          <c:order val="15"/>
          <c:tx>
            <c:strRef>
              <c:f>PEPSI!$W$19</c:f>
              <c:strCache>
                <c:ptCount val="1"/>
                <c:pt idx="0">
                  <c:v>TIC2783</c:v>
                </c:pt>
              </c:strCache>
            </c:strRef>
          </c:tx>
          <c:spPr>
            <a:ln w="12700" cap="rnd">
              <a:solidFill>
                <a:srgbClr val="00B0F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PEPSI!$BO$5:$BO$37</c:f>
              <c:numCache>
                <c:formatCode>0</c:formatCode>
                <c:ptCount val="33"/>
                <c:pt idx="0">
                  <c:v>27.175513665606481</c:v>
                </c:pt>
                <c:pt idx="1">
                  <c:v>22.578623294263423</c:v>
                </c:pt>
                <c:pt idx="2">
                  <c:v>18.152556586211233</c:v>
                </c:pt>
                <c:pt idx="3">
                  <c:v>13.930729388717619</c:v>
                </c:pt>
                <c:pt idx="4">
                  <c:v>9.9485377010056411</c:v>
                </c:pt>
                <c:pt idx="5">
                  <c:v>6.2436233663249849</c:v>
                </c:pt>
                <c:pt idx="6">
                  <c:v>2.8557635231828007</c:v>
                </c:pt>
                <c:pt idx="7">
                  <c:v>-0.1736781946141556</c:v>
                </c:pt>
                <c:pt idx="8">
                  <c:v>-2.8028072238249213</c:v>
                </c:pt>
                <c:pt idx="9">
                  <c:v>-4.9907963003025451</c:v>
                </c:pt>
                <c:pt idx="10">
                  <c:v>-6.6999826130958651</c:v>
                </c:pt>
                <c:pt idx="11">
                  <c:v>-7.8982976856317393</c:v>
                </c:pt>
                <c:pt idx="12">
                  <c:v>-8.5617260512629816</c:v>
                </c:pt>
                <c:pt idx="13">
                  <c:v>-8.6763884496002195</c:v>
                </c:pt>
                <c:pt idx="14">
                  <c:v>-8.2398422229740138</c:v>
                </c:pt>
                <c:pt idx="15">
                  <c:v>-7.2613175719833327</c:v>
                </c:pt>
                <c:pt idx="16">
                  <c:v>-5.7608364461806474</c:v>
                </c:pt>
                <c:pt idx="17">
                  <c:v>-3.7674092971079229</c:v>
                </c:pt>
                <c:pt idx="18">
                  <c:v>-1.3166803177741804</c:v>
                </c:pt>
                <c:pt idx="19">
                  <c:v>1.551558590075794</c:v>
                </c:pt>
                <c:pt idx="20">
                  <c:v>4.7956313676601336</c:v>
                </c:pt>
                <c:pt idx="21">
                  <c:v>8.3737947824797789</c:v>
                </c:pt>
                <c:pt idx="22">
                  <c:v>12.245518485562153</c:v>
                </c:pt>
                <c:pt idx="23">
                  <c:v>16.372236846377692</c:v>
                </c:pt>
                <c:pt idx="24">
                  <c:v>20.717632860979791</c:v>
                </c:pt>
                <c:pt idx="25">
                  <c:v>25.247522949702795</c:v>
                </c:pt>
                <c:pt idx="26">
                  <c:v>29.929386391484876</c:v>
                </c:pt>
                <c:pt idx="27">
                  <c:v>34.731529512900785</c:v>
                </c:pt>
                <c:pt idx="28">
                  <c:v>39.621786075025618</c:v>
                </c:pt>
                <c:pt idx="29">
                  <c:v>44.565504786428093</c:v>
                </c:pt>
                <c:pt idx="30">
                  <c:v>49.522297263767598</c:v>
                </c:pt>
                <c:pt idx="31">
                  <c:v>54.440470899702063</c:v>
                </c:pt>
                <c:pt idx="32">
                  <c:v>59.246950335125284</c:v>
                </c:pt>
              </c:numCache>
            </c:numRef>
          </c:yVal>
          <c:smooth val="1"/>
          <c:extLst>
            <c:ext xmlns:c16="http://schemas.microsoft.com/office/drawing/2014/chart" uri="{C3380CC4-5D6E-409C-BE32-E72D297353CC}">
              <c16:uniqueId val="{0000000F-3581-C84D-BA8C-1649F7CE982A}"/>
            </c:ext>
          </c:extLst>
        </c:ser>
        <c:ser>
          <c:idx val="29"/>
          <c:order val="16"/>
          <c:tx>
            <c:strRef>
              <c:f>PEPSI!$W$20</c:f>
              <c:strCache>
                <c:ptCount val="1"/>
                <c:pt idx="0">
                  <c:v>TIC4140</c:v>
                </c:pt>
              </c:strCache>
            </c:strRef>
          </c:tx>
          <c:spPr>
            <a:ln w="12700" cap="rnd">
              <a:solidFill>
                <a:srgbClr val="00B0F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PEPSI!$BP$5:$BP$37</c:f>
              <c:numCache>
                <c:formatCode>0</c:formatCode>
                <c:ptCount val="33"/>
                <c:pt idx="0">
                  <c:v>45.524015396046245</c:v>
                </c:pt>
                <c:pt idx="1">
                  <c:v>41.428445112572192</c:v>
                </c:pt>
                <c:pt idx="2">
                  <c:v>37.317509686775459</c:v>
                </c:pt>
                <c:pt idx="3">
                  <c:v>33.23914896308434</c:v>
                </c:pt>
                <c:pt idx="4">
                  <c:v>29.234706755170386</c:v>
                </c:pt>
                <c:pt idx="5">
                  <c:v>25.341605479822309</c:v>
                </c:pt>
                <c:pt idx="6">
                  <c:v>21.595134433390548</c:v>
                </c:pt>
                <c:pt idx="7">
                  <c:v>18.029609677241083</c:v>
                </c:pt>
                <c:pt idx="8">
                  <c:v>14.679058553207312</c:v>
                </c:pt>
                <c:pt idx="9">
                  <c:v>11.577509751589304</c:v>
                </c:pt>
                <c:pt idx="10">
                  <c:v>8.7589252424590285</c:v>
                </c:pt>
                <c:pt idx="11">
                  <c:v>6.2567891265439224</c:v>
                </c:pt>
                <c:pt idx="12">
                  <c:v>4.1033689204375028</c:v>
                </c:pt>
                <c:pt idx="13">
                  <c:v>2.3286860194115788</c:v>
                </c:pt>
                <c:pt idx="14">
                  <c:v>0.95927086269991102</c:v>
                </c:pt>
                <c:pt idx="15">
                  <c:v>1.6826242349746796E-2</c:v>
                </c:pt>
                <c:pt idx="16">
                  <c:v>-0.48303546055476893</c:v>
                </c:pt>
                <c:pt idx="17">
                  <c:v>-0.53179685551485745</c:v>
                </c:pt>
                <c:pt idx="18">
                  <c:v>-0.12861802162363586</c:v>
                </c:pt>
                <c:pt idx="19">
                  <c:v>0.71960472595651481</c:v>
                </c:pt>
                <c:pt idx="20">
                  <c:v>1.9987142920543601</c:v>
                </c:pt>
                <c:pt idx="21">
                  <c:v>3.6882188013448127</c:v>
                </c:pt>
                <c:pt idx="22">
                  <c:v>5.7625142951359924</c:v>
                </c:pt>
                <c:pt idx="23">
                  <c:v>8.192220629891759</c:v>
                </c:pt>
                <c:pt idx="24">
                  <c:v>10.945458176997986</c:v>
                </c:pt>
                <c:pt idx="25">
                  <c:v>13.988931686681985</c:v>
                </c:pt>
                <c:pt idx="26">
                  <c:v>17.288735832738045</c:v>
                </c:pt>
                <c:pt idx="27">
                  <c:v>20.8108386336257</c:v>
                </c:pt>
                <c:pt idx="28">
                  <c:v>24.521224365084585</c:v>
                </c:pt>
                <c:pt idx="29">
                  <c:v>28.385682618726161</c:v>
                </c:pt>
                <c:pt idx="30">
                  <c:v>32.369213658587292</c:v>
                </c:pt>
                <c:pt idx="31">
                  <c:v>36.434980899164678</c:v>
                </c:pt>
                <c:pt idx="32">
                  <c:v>40.542675623945854</c:v>
                </c:pt>
              </c:numCache>
            </c:numRef>
          </c:yVal>
          <c:smooth val="1"/>
          <c:extLst>
            <c:ext xmlns:c16="http://schemas.microsoft.com/office/drawing/2014/chart" uri="{C3380CC4-5D6E-409C-BE32-E72D297353CC}">
              <c16:uniqueId val="{00000010-3581-C84D-BA8C-1649F7CE982A}"/>
            </c:ext>
          </c:extLst>
        </c:ser>
        <c:ser>
          <c:idx val="30"/>
          <c:order val="17"/>
          <c:tx>
            <c:strRef>
              <c:f>PEPSI!$W$21</c:f>
              <c:strCache>
                <c:ptCount val="1"/>
                <c:pt idx="0">
                  <c:v>TIC4707</c:v>
                </c:pt>
              </c:strCache>
            </c:strRef>
          </c:tx>
          <c:spPr>
            <a:ln w="12700" cap="rnd">
              <a:solidFill>
                <a:srgbClr val="FF0000"/>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PEPSI!$BQ$5:$BQ$37</c:f>
              <c:numCache>
                <c:formatCode>0</c:formatCode>
                <c:ptCount val="33"/>
                <c:pt idx="0">
                  <c:v>53.231126095710913</c:v>
                </c:pt>
                <c:pt idx="1">
                  <c:v>50.238724620866797</c:v>
                </c:pt>
                <c:pt idx="2">
                  <c:v>47.002334254568339</c:v>
                </c:pt>
                <c:pt idx="3">
                  <c:v>43.605732482264607</c:v>
                </c:pt>
                <c:pt idx="4">
                  <c:v>40.117769146316938</c:v>
                </c:pt>
                <c:pt idx="5">
                  <c:v>36.595627320944466</c:v>
                </c:pt>
                <c:pt idx="6">
                  <c:v>33.087897748661071</c:v>
                </c:pt>
                <c:pt idx="7">
                  <c:v>29.637089417951319</c:v>
                </c:pt>
                <c:pt idx="8">
                  <c:v>26.281535467922726</c:v>
                </c:pt>
                <c:pt idx="9">
                  <c:v>23.056765375075763</c:v>
                </c:pt>
                <c:pt idx="10">
                  <c:v>19.996430723808441</c:v>
                </c:pt>
                <c:pt idx="11">
                  <c:v>17.132856045499491</c:v>
                </c:pt>
                <c:pt idx="12">
                  <c:v>14.497265355466633</c:v>
                </c:pt>
                <c:pt idx="13">
                  <c:v>12.119719852993191</c:v>
                </c:pt>
                <c:pt idx="14">
                  <c:v>10.028796756762011</c:v>
                </c:pt>
                <c:pt idx="15">
                  <c:v>8.2510444270375523</c:v>
                </c:pt>
                <c:pt idx="16">
                  <c:v>6.8102636757703108</c:v>
                </c:pt>
                <c:pt idx="17">
                  <c:v>5.7266860213194768</c:v>
                </c:pt>
                <c:pt idx="18">
                  <c:v>5.0161405669074295</c:v>
                </c:pt>
                <c:pt idx="19">
                  <c:v>4.6893143099146632</c:v>
                </c:pt>
                <c:pt idx="20">
                  <c:v>4.7512084727568835</c:v>
                </c:pt>
                <c:pt idx="21">
                  <c:v>5.2008716999437477</c:v>
                </c:pt>
                <c:pt idx="22">
                  <c:v>6.0314514213917194</c:v>
                </c:pt>
                <c:pt idx="23">
                  <c:v>7.2305553493741073</c:v>
                </c:pt>
                <c:pt idx="24">
                  <c:v>8.7808676818223894</c:v>
                </c:pt>
                <c:pt idx="25">
                  <c:v>10.660930105498341</c:v>
                </c:pt>
                <c:pt idx="26">
                  <c:v>12.845982284321217</c:v>
                </c:pt>
                <c:pt idx="27">
                  <c:v>15.308759858393348</c:v>
                </c:pt>
                <c:pt idx="28">
                  <c:v>18.020164476141321</c:v>
                </c:pt>
                <c:pt idx="29">
                  <c:v>20.949742078509214</c:v>
                </c:pt>
                <c:pt idx="30">
                  <c:v>24.065925103427784</c:v>
                </c:pt>
                <c:pt idx="31">
                  <c:v>27.336006239369983</c:v>
                </c:pt>
                <c:pt idx="32">
                  <c:v>30.725813161374678</c:v>
                </c:pt>
              </c:numCache>
            </c:numRef>
          </c:yVal>
          <c:smooth val="1"/>
          <c:extLst>
            <c:ext xmlns:c16="http://schemas.microsoft.com/office/drawing/2014/chart" uri="{C3380CC4-5D6E-409C-BE32-E72D297353CC}">
              <c16:uniqueId val="{00000011-3581-C84D-BA8C-1649F7CE982A}"/>
            </c:ext>
          </c:extLst>
        </c:ser>
        <c:ser>
          <c:idx val="31"/>
          <c:order val="18"/>
          <c:tx>
            <c:strRef>
              <c:f>PEPSI!$W$22</c:f>
              <c:strCache>
                <c:ptCount val="1"/>
              </c:strCache>
            </c:strRef>
          </c:tx>
          <c:spPr>
            <a:ln w="19050" cap="rnd">
              <a:solidFill>
                <a:schemeClr val="accent2">
                  <a:lumMod val="50000"/>
                </a:schemeClr>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PEPSI!$BR$5:$BR$37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2-3581-C84D-BA8C-1649F7CE982A}"/>
            </c:ext>
          </c:extLst>
        </c:ser>
        <c:ser>
          <c:idx val="32"/>
          <c:order val="19"/>
          <c:tx>
            <c:strRef>
              <c:f>PEPSI!$W$23</c:f>
              <c:strCache>
                <c:ptCount val="1"/>
              </c:strCache>
            </c:strRef>
          </c:tx>
          <c:spPr>
            <a:ln w="19050" cap="rnd">
              <a:solidFill>
                <a:schemeClr val="accent3">
                  <a:lumMod val="50000"/>
                </a:schemeClr>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PEPSI!$BS$5:$BS$37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3-3581-C84D-BA8C-1649F7CE982A}"/>
            </c:ext>
          </c:extLst>
        </c:ser>
        <c:ser>
          <c:idx val="33"/>
          <c:order val="20"/>
          <c:tx>
            <c:strRef>
              <c:f>PEPSI!$W$24</c:f>
              <c:strCache>
                <c:ptCount val="1"/>
              </c:strCache>
            </c:strRef>
          </c:tx>
          <c:spPr>
            <a:ln w="19050" cap="rnd">
              <a:solidFill>
                <a:schemeClr val="accent4">
                  <a:lumMod val="50000"/>
                </a:schemeClr>
              </a:solidFill>
              <a:round/>
            </a:ln>
            <a:effectLst/>
          </c:spPr>
          <c:marker>
            <c:symbol val="none"/>
          </c:marker>
          <c:xVal>
            <c:numRef>
              <c:f>PEPSI!$AY$5:$AY$37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PEPSI!$BT$5:$BT$37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4-3581-C84D-BA8C-1649F7CE982A}"/>
            </c:ext>
          </c:extLst>
        </c:ser>
        <c:ser>
          <c:idx val="5"/>
          <c:order val="21"/>
          <c:tx>
            <c:v>"sunset"</c:v>
          </c:tx>
          <c:spPr>
            <a:ln w="12700" cap="rnd">
              <a:solidFill>
                <a:srgbClr val="0070C0"/>
              </a:solidFill>
              <a:prstDash val="dash"/>
              <a:round/>
            </a:ln>
            <a:effectLst/>
          </c:spPr>
          <c:marker>
            <c:symbol val="none"/>
          </c:marker>
          <c:dLbls>
            <c:dLbl>
              <c:idx val="0"/>
              <c:tx>
                <c:rich>
                  <a:bodyPr/>
                  <a:lstStyle/>
                  <a:p>
                    <a:fld id="{53740CCB-D617-2A46-97EA-442CFE258DD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3581-C84D-BA8C-1649F7CE982A}"/>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3581-C84D-BA8C-1649F7CE982A}"/>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Calcs!$M$38:$M$39</c:f>
              <c:numCache>
                <c:formatCode>0.00</c:formatCode>
                <c:ptCount val="2"/>
                <c:pt idx="0">
                  <c:v>1.2477250083649842</c:v>
                </c:pt>
                <c:pt idx="1">
                  <c:v>1.2477250083649842</c:v>
                </c:pt>
              </c:numCache>
            </c:numRef>
          </c:xVal>
          <c:yVal>
            <c:numRef>
              <c:f>Calcs!$N$38:$N$39</c:f>
              <c:numCache>
                <c:formatCode>General</c:formatCode>
                <c:ptCount val="2"/>
                <c:pt idx="0">
                  <c:v>0</c:v>
                </c:pt>
                <c:pt idx="1">
                  <c:v>90</c:v>
                </c:pt>
              </c:numCache>
            </c:numRef>
          </c:yVal>
          <c:smooth val="1"/>
          <c:extLst>
            <c:ext xmlns:c15="http://schemas.microsoft.com/office/drawing/2012/chart" uri="{02D57815-91ED-43cb-92C2-25804820EDAC}">
              <c15:datalabelsRange>
                <c15:f>Calcs!$O$38</c15:f>
                <c15:dlblRangeCache>
                  <c:ptCount val="1"/>
                  <c:pt idx="0">
                    <c:v>sunset</c:v>
                  </c:pt>
                </c15:dlblRangeCache>
              </c15:datalabelsRange>
            </c:ext>
            <c:ext xmlns:c16="http://schemas.microsoft.com/office/drawing/2014/chart" uri="{C3380CC4-5D6E-409C-BE32-E72D297353CC}">
              <c16:uniqueId val="{00000017-3581-C84D-BA8C-1649F7CE982A}"/>
            </c:ext>
          </c:extLst>
        </c:ser>
        <c:ser>
          <c:idx val="6"/>
          <c:order val="22"/>
          <c:tx>
            <c:v>"30 deg limits"</c:v>
          </c:tx>
          <c:spPr>
            <a:ln w="12700"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Calcs!$N$30:$N$31</c:f>
              <c:numCache>
                <c:formatCode>General</c:formatCode>
                <c:ptCount val="2"/>
                <c:pt idx="0">
                  <c:v>30</c:v>
                </c:pt>
                <c:pt idx="1">
                  <c:v>30</c:v>
                </c:pt>
              </c:numCache>
            </c:numRef>
          </c:yVal>
          <c:smooth val="1"/>
          <c:extLst>
            <c:ext xmlns:c16="http://schemas.microsoft.com/office/drawing/2014/chart" uri="{C3380CC4-5D6E-409C-BE32-E72D297353CC}">
              <c16:uniqueId val="{00000018-3581-C84D-BA8C-1649F7CE982A}"/>
            </c:ext>
          </c:extLst>
        </c:ser>
        <c:ser>
          <c:idx val="7"/>
          <c:order val="23"/>
          <c:tx>
            <c:v>"86 deg limits"</c:v>
          </c:tx>
          <c:spPr>
            <a:ln w="12700"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Calcs!$O$30:$O$31</c:f>
              <c:numCache>
                <c:formatCode>General</c:formatCode>
                <c:ptCount val="2"/>
                <c:pt idx="0">
                  <c:v>86</c:v>
                </c:pt>
                <c:pt idx="1">
                  <c:v>86</c:v>
                </c:pt>
              </c:numCache>
            </c:numRef>
          </c:yVal>
          <c:smooth val="1"/>
          <c:extLst>
            <c:ext xmlns:c16="http://schemas.microsoft.com/office/drawing/2014/chart" uri="{C3380CC4-5D6E-409C-BE32-E72D297353CC}">
              <c16:uniqueId val="{00000019-3581-C84D-BA8C-1649F7CE982A}"/>
            </c:ext>
          </c:extLst>
        </c:ser>
        <c:ser>
          <c:idx val="8"/>
          <c:order val="24"/>
          <c:tx>
            <c:v>"sunrise"</c:v>
          </c:tx>
          <c:spPr>
            <a:ln w="12700" cap="rnd">
              <a:solidFill>
                <a:schemeClr val="accent4">
                  <a:lumMod val="50000"/>
                </a:schemeClr>
              </a:solidFill>
              <a:prstDash val="dash"/>
              <a:round/>
            </a:ln>
            <a:effectLst/>
          </c:spPr>
          <c:marker>
            <c:symbol val="none"/>
          </c:marker>
          <c:dLbls>
            <c:dLbl>
              <c:idx val="0"/>
              <c:tx>
                <c:rich>
                  <a:bodyPr/>
                  <a:lstStyle/>
                  <a:p>
                    <a:fld id="{7360C152-266D-3C41-9885-9A3DBB68894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3581-C84D-BA8C-1649F7CE982A}"/>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3581-C84D-BA8C-1649F7CE982A}"/>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Calcs!$M$40:$M$41</c:f>
              <c:numCache>
                <c:formatCode>0.00</c:formatCode>
                <c:ptCount val="2"/>
                <c:pt idx="0">
                  <c:v>13.82857454377158</c:v>
                </c:pt>
                <c:pt idx="1">
                  <c:v>13.82857454377158</c:v>
                </c:pt>
              </c:numCache>
            </c:numRef>
          </c:xVal>
          <c:yVal>
            <c:numRef>
              <c:f>Calcs!$N$40:$N$41</c:f>
              <c:numCache>
                <c:formatCode>General</c:formatCode>
                <c:ptCount val="2"/>
                <c:pt idx="0">
                  <c:v>0</c:v>
                </c:pt>
                <c:pt idx="1">
                  <c:v>90</c:v>
                </c:pt>
              </c:numCache>
            </c:numRef>
          </c:yVal>
          <c:smooth val="1"/>
          <c:extLst>
            <c:ext xmlns:c15="http://schemas.microsoft.com/office/drawing/2012/chart" uri="{02D57815-91ED-43cb-92C2-25804820EDAC}">
              <c15:datalabelsRange>
                <c15:f>Calcs!$O$40</c15:f>
                <c15:dlblRangeCache>
                  <c:ptCount val="1"/>
                  <c:pt idx="0">
                    <c:v>sunrise</c:v>
                  </c:pt>
                </c15:dlblRangeCache>
              </c15:datalabelsRange>
            </c:ext>
            <c:ext xmlns:c16="http://schemas.microsoft.com/office/drawing/2014/chart" uri="{C3380CC4-5D6E-409C-BE32-E72D297353CC}">
              <c16:uniqueId val="{0000001C-3581-C84D-BA8C-1649F7CE982A}"/>
            </c:ext>
          </c:extLst>
        </c:ser>
        <c:ser>
          <c:idx val="9"/>
          <c:order val="25"/>
          <c:tx>
            <c:v>"midnight"</c:v>
          </c:tx>
          <c:spPr>
            <a:ln w="12700" cap="rnd">
              <a:solidFill>
                <a:srgbClr val="0070C0"/>
              </a:solidFill>
              <a:prstDash val="dash"/>
              <a:round/>
            </a:ln>
            <a:effectLst/>
          </c:spPr>
          <c:marker>
            <c:symbol val="none"/>
          </c:marker>
          <c:dLbls>
            <c:dLbl>
              <c:idx val="0"/>
              <c:tx>
                <c:rich>
                  <a:bodyPr/>
                  <a:lstStyle/>
                  <a:p>
                    <a:fld id="{BBB1F19F-2743-7544-AFD3-58D71CC27A7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3581-C84D-BA8C-1649F7CE982A}"/>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3581-C84D-BA8C-1649F7CE982A}"/>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Calcs!$M$36:$M$37</c:f>
              <c:numCache>
                <c:formatCode>0.00</c:formatCode>
                <c:ptCount val="2"/>
                <c:pt idx="0">
                  <c:v>7.5381497760682823</c:v>
                </c:pt>
                <c:pt idx="1">
                  <c:v>7.5381497760682823</c:v>
                </c:pt>
              </c:numCache>
            </c:numRef>
          </c:xVal>
          <c:yVal>
            <c:numRef>
              <c:f>Calcs!$N$36:$N$37</c:f>
              <c:numCache>
                <c:formatCode>General</c:formatCode>
                <c:ptCount val="2"/>
                <c:pt idx="0">
                  <c:v>0</c:v>
                </c:pt>
                <c:pt idx="1">
                  <c:v>20</c:v>
                </c:pt>
              </c:numCache>
            </c:numRef>
          </c:yVal>
          <c:smooth val="1"/>
          <c:extLst>
            <c:ext xmlns:c15="http://schemas.microsoft.com/office/drawing/2012/chart" uri="{02D57815-91ED-43cb-92C2-25804820EDAC}">
              <c15:datalabelsRange>
                <c15:f>Calcs!$O$36</c15:f>
                <c15:dlblRangeCache>
                  <c:ptCount val="1"/>
                  <c:pt idx="0">
                    <c:v>midnight</c:v>
                  </c:pt>
                </c15:dlblRangeCache>
              </c15:datalabelsRange>
            </c:ext>
            <c:ext xmlns:c16="http://schemas.microsoft.com/office/drawing/2014/chart" uri="{C3380CC4-5D6E-409C-BE32-E72D297353CC}">
              <c16:uniqueId val="{0000001F-3581-C84D-BA8C-1649F7CE982A}"/>
            </c:ext>
          </c:extLst>
        </c:ser>
        <c:ser>
          <c:idx val="10"/>
          <c:order val="26"/>
          <c:tx>
            <c:v>"18-deg"</c:v>
          </c:tx>
          <c:spPr>
            <a:ln w="12700" cap="rnd">
              <a:solidFill>
                <a:srgbClr val="0070C0"/>
              </a:solidFill>
              <a:prstDash val="dash"/>
              <a:round/>
            </a:ln>
            <a:effectLst/>
          </c:spPr>
          <c:marker>
            <c:symbol val="none"/>
          </c:marker>
          <c:dLbls>
            <c:dLbl>
              <c:idx val="0"/>
              <c:tx>
                <c:rich>
                  <a:bodyPr/>
                  <a:lstStyle/>
                  <a:p>
                    <a:fld id="{6665CCE4-7A3C-2E44-89E5-14F6EB4CF5F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3581-C84D-BA8C-1649F7CE982A}"/>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3581-C84D-BA8C-1649F7CE982A}"/>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Calcs!$M$42:$M$43</c:f>
              <c:numCache>
                <c:formatCode>0.00</c:formatCode>
                <c:ptCount val="2"/>
                <c:pt idx="0">
                  <c:v>2.6108095362183414</c:v>
                </c:pt>
                <c:pt idx="1">
                  <c:v>2.6108095362183414</c:v>
                </c:pt>
              </c:numCache>
            </c:numRef>
          </c:xVal>
          <c:yVal>
            <c:numRef>
              <c:f>Calcs!$N$42:$N$43</c:f>
              <c:numCache>
                <c:formatCode>General</c:formatCode>
                <c:ptCount val="2"/>
                <c:pt idx="0">
                  <c:v>0</c:v>
                </c:pt>
                <c:pt idx="1">
                  <c:v>90</c:v>
                </c:pt>
              </c:numCache>
            </c:numRef>
          </c:yVal>
          <c:smooth val="1"/>
          <c:extLst>
            <c:ext xmlns:c15="http://schemas.microsoft.com/office/drawing/2012/chart" uri="{02D57815-91ED-43cb-92C2-25804820EDAC}">
              <c15:datalabelsRange>
                <c15:f>Calcs!$O$42</c15:f>
                <c15:dlblRangeCache>
                  <c:ptCount val="1"/>
                  <c:pt idx="0">
                    <c:v>18</c:v>
                  </c:pt>
                </c15:dlblRangeCache>
              </c15:datalabelsRange>
            </c:ext>
            <c:ext xmlns:c16="http://schemas.microsoft.com/office/drawing/2014/chart" uri="{C3380CC4-5D6E-409C-BE32-E72D297353CC}">
              <c16:uniqueId val="{00000022-3581-C84D-BA8C-1649F7CE982A}"/>
            </c:ext>
          </c:extLst>
        </c:ser>
        <c:ser>
          <c:idx val="11"/>
          <c:order val="27"/>
          <c:tx>
            <c:v>"18-deg"</c:v>
          </c:tx>
          <c:spPr>
            <a:ln w="12700" cap="rnd">
              <a:solidFill>
                <a:srgbClr val="0070C0"/>
              </a:solidFill>
              <a:prstDash val="dash"/>
              <a:round/>
            </a:ln>
            <a:effectLst/>
          </c:spPr>
          <c:marker>
            <c:symbol val="none"/>
          </c:marker>
          <c:dLbls>
            <c:dLbl>
              <c:idx val="0"/>
              <c:tx>
                <c:rich>
                  <a:bodyPr/>
                  <a:lstStyle/>
                  <a:p>
                    <a:fld id="{33BAE02C-B3BE-0D42-AD55-546EC0CE3DB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3581-C84D-BA8C-1649F7CE982A}"/>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3581-C84D-BA8C-1649F7CE982A}"/>
                </c:ext>
              </c:extLst>
            </c:dLbl>
            <c:spPr>
              <a:solidFill>
                <a:schemeClr val="l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Calcs!$M$44:$M$45</c:f>
              <c:numCache>
                <c:formatCode>0.00</c:formatCode>
                <c:ptCount val="2"/>
                <c:pt idx="0">
                  <c:v>12.465490015918224</c:v>
                </c:pt>
                <c:pt idx="1">
                  <c:v>12.465490015918224</c:v>
                </c:pt>
              </c:numCache>
            </c:numRef>
          </c:xVal>
          <c:yVal>
            <c:numRef>
              <c:f>Calcs!$N$44:$N$45</c:f>
              <c:numCache>
                <c:formatCode>General</c:formatCode>
                <c:ptCount val="2"/>
                <c:pt idx="0">
                  <c:v>0</c:v>
                </c:pt>
                <c:pt idx="1">
                  <c:v>90</c:v>
                </c:pt>
              </c:numCache>
            </c:numRef>
          </c:yVal>
          <c:smooth val="1"/>
          <c:extLst>
            <c:ext xmlns:c15="http://schemas.microsoft.com/office/drawing/2012/chart" uri="{02D57815-91ED-43cb-92C2-25804820EDAC}">
              <c15:datalabelsRange>
                <c15:f>Calcs!$O$42</c15:f>
                <c15:dlblRangeCache>
                  <c:ptCount val="1"/>
                  <c:pt idx="0">
                    <c:v>18</c:v>
                  </c:pt>
                </c15:dlblRangeCache>
              </c15:datalabelsRange>
            </c:ext>
            <c:ext xmlns:c16="http://schemas.microsoft.com/office/drawing/2014/chart" uri="{C3380CC4-5D6E-409C-BE32-E72D297353CC}">
              <c16:uniqueId val="{00000025-3581-C84D-BA8C-1649F7CE982A}"/>
            </c:ext>
          </c:extLst>
        </c:ser>
        <c:ser>
          <c:idx val="12"/>
          <c:order val="28"/>
          <c:tx>
            <c:v>"12-deg"</c:v>
          </c:tx>
          <c:spPr>
            <a:ln w="12700" cap="rnd">
              <a:solidFill>
                <a:srgbClr val="0070C0"/>
              </a:solidFill>
              <a:prstDash val="dash"/>
              <a:round/>
            </a:ln>
            <a:effectLst/>
          </c:spPr>
          <c:marker>
            <c:symbol val="none"/>
          </c:marker>
          <c:dLbls>
            <c:dLbl>
              <c:idx val="0"/>
              <c:tx>
                <c:rich>
                  <a:bodyPr/>
                  <a:lstStyle/>
                  <a:p>
                    <a:fld id="{7CAE1AE0-97AF-F748-8FD1-FFB09EF785C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3581-C84D-BA8C-1649F7CE982A}"/>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3581-C84D-BA8C-1649F7CE982A}"/>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Calcs!$M$46:$M$47</c:f>
              <c:numCache>
                <c:formatCode>0.00</c:formatCode>
                <c:ptCount val="2"/>
                <c:pt idx="0">
                  <c:v>2.135375871853185</c:v>
                </c:pt>
                <c:pt idx="1">
                  <c:v>2.135375871853185</c:v>
                </c:pt>
              </c:numCache>
            </c:numRef>
          </c:xVal>
          <c:yVal>
            <c:numRef>
              <c:f>Calcs!$N$46:$N$47</c:f>
              <c:numCache>
                <c:formatCode>General</c:formatCode>
                <c:ptCount val="2"/>
                <c:pt idx="0">
                  <c:v>0</c:v>
                </c:pt>
                <c:pt idx="1">
                  <c:v>90</c:v>
                </c:pt>
              </c:numCache>
            </c:numRef>
          </c:yVal>
          <c:smooth val="1"/>
          <c:extLst>
            <c:ext xmlns:c15="http://schemas.microsoft.com/office/drawing/2012/chart" uri="{02D57815-91ED-43cb-92C2-25804820EDAC}">
              <c15:datalabelsRange>
                <c15:f>Calcs!$O$46</c15:f>
                <c15:dlblRangeCache>
                  <c:ptCount val="1"/>
                  <c:pt idx="0">
                    <c:v>12</c:v>
                  </c:pt>
                </c15:dlblRangeCache>
              </c15:datalabelsRange>
            </c:ext>
            <c:ext xmlns:c16="http://schemas.microsoft.com/office/drawing/2014/chart" uri="{C3380CC4-5D6E-409C-BE32-E72D297353CC}">
              <c16:uniqueId val="{00000028-3581-C84D-BA8C-1649F7CE982A}"/>
            </c:ext>
          </c:extLst>
        </c:ser>
        <c:ser>
          <c:idx val="13"/>
          <c:order val="29"/>
          <c:tx>
            <c:v>"12-deg"</c:v>
          </c:tx>
          <c:spPr>
            <a:ln w="19050" cap="rnd">
              <a:solidFill>
                <a:schemeClr val="accent2">
                  <a:lumMod val="80000"/>
                  <a:lumOff val="20000"/>
                </a:schemeClr>
              </a:solidFill>
              <a:round/>
            </a:ln>
            <a:effectLst/>
          </c:spPr>
          <c:marker>
            <c:symbol val="none"/>
          </c:marker>
          <c:dPt>
            <c:idx val="1"/>
            <c:bubble3D val="0"/>
            <c:spPr>
              <a:ln w="12700" cap="rnd">
                <a:solidFill>
                  <a:srgbClr val="0070C0"/>
                </a:solidFill>
                <a:prstDash val="dash"/>
                <a:round/>
              </a:ln>
              <a:effectLst/>
            </c:spPr>
            <c:extLst>
              <c:ext xmlns:c16="http://schemas.microsoft.com/office/drawing/2014/chart" uri="{C3380CC4-5D6E-409C-BE32-E72D297353CC}">
                <c16:uniqueId val="{0000002A-3581-C84D-BA8C-1649F7CE982A}"/>
              </c:ext>
            </c:extLst>
          </c:dPt>
          <c:dLbls>
            <c:dLbl>
              <c:idx val="0"/>
              <c:tx>
                <c:rich>
                  <a:bodyPr/>
                  <a:lstStyle/>
                  <a:p>
                    <a:fld id="{CA151CDD-C7ED-4942-9AF3-7803F2D7992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3581-C84D-BA8C-1649F7CE982A}"/>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A-3581-C84D-BA8C-1649F7CE982A}"/>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Calcs!$M$48:$M$49</c:f>
              <c:numCache>
                <c:formatCode>0.00</c:formatCode>
                <c:ptCount val="2"/>
                <c:pt idx="0">
                  <c:v>12.94092368028338</c:v>
                </c:pt>
                <c:pt idx="1">
                  <c:v>12.94092368028338</c:v>
                </c:pt>
              </c:numCache>
            </c:numRef>
          </c:xVal>
          <c:yVal>
            <c:numRef>
              <c:f>Calcs!$N$48:$N$49</c:f>
              <c:numCache>
                <c:formatCode>General</c:formatCode>
                <c:ptCount val="2"/>
                <c:pt idx="0">
                  <c:v>0</c:v>
                </c:pt>
                <c:pt idx="1">
                  <c:v>90</c:v>
                </c:pt>
              </c:numCache>
            </c:numRef>
          </c:yVal>
          <c:smooth val="1"/>
          <c:extLst>
            <c:ext xmlns:c15="http://schemas.microsoft.com/office/drawing/2012/chart" uri="{02D57815-91ED-43cb-92C2-25804820EDAC}">
              <c15:datalabelsRange>
                <c15:f>Calcs!$O$46</c15:f>
                <c15:dlblRangeCache>
                  <c:ptCount val="1"/>
                  <c:pt idx="0">
                    <c:v>12</c:v>
                  </c:pt>
                </c15:dlblRangeCache>
              </c15:datalabelsRange>
            </c:ext>
            <c:ext xmlns:c16="http://schemas.microsoft.com/office/drawing/2014/chart" uri="{C3380CC4-5D6E-409C-BE32-E72D297353CC}">
              <c16:uniqueId val="{0000002C-3581-C84D-BA8C-1649F7CE982A}"/>
            </c:ext>
          </c:extLst>
        </c:ser>
        <c:ser>
          <c:idx val="15"/>
          <c:order val="30"/>
          <c:tx>
            <c:v>"Exposure"</c:v>
          </c:tx>
          <c:spPr>
            <a:ln w="19050" cap="rnd">
              <a:noFill/>
              <a:round/>
            </a:ln>
            <a:effectLst/>
          </c:spPr>
          <c:marker>
            <c:symbol val="none"/>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3581-C84D-BA8C-1649F7CE982A}"/>
                </c:ext>
              </c:extLst>
            </c:dLbl>
            <c:dLbl>
              <c:idx val="1"/>
              <c:tx>
                <c:rich>
                  <a:bodyPr/>
                  <a:lstStyle/>
                  <a:p>
                    <a:fld id="{9A88745A-B13F-1149-AB50-B2105A0ED95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3581-C84D-BA8C-1649F7CE982A}"/>
                </c:ext>
              </c:extLst>
            </c:dLbl>
            <c:dLbl>
              <c:idx val="2"/>
              <c:tx>
                <c:rich>
                  <a:bodyPr/>
                  <a:lstStyle/>
                  <a:p>
                    <a:fld id="{350F8B93-781F-5D42-8470-C66C5E9E7D7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3581-C84D-BA8C-1649F7CE982A}"/>
                </c:ext>
              </c:extLst>
            </c:dLbl>
            <c:dLbl>
              <c:idx val="3"/>
              <c:tx>
                <c:rich>
                  <a:bodyPr/>
                  <a:lstStyle/>
                  <a:p>
                    <a:fld id="{05926939-5659-E540-AD7D-A5050653542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3581-C84D-BA8C-1649F7CE982A}"/>
                </c:ext>
              </c:extLst>
            </c:dLbl>
            <c:dLbl>
              <c:idx val="4"/>
              <c:tx>
                <c:rich>
                  <a:bodyPr/>
                  <a:lstStyle/>
                  <a:p>
                    <a:fld id="{86BF986F-D37A-8F42-B1A8-C7259FF4B34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3581-C84D-BA8C-1649F7CE982A}"/>
                </c:ext>
              </c:extLst>
            </c:dLbl>
            <c:dLbl>
              <c:idx val="5"/>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2-3581-C84D-BA8C-1649F7CE982A}"/>
                </c:ext>
              </c:extLst>
            </c:dLbl>
            <c:dLbl>
              <c:idx val="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3-3581-C84D-BA8C-1649F7CE982A}"/>
                </c:ext>
              </c:extLst>
            </c:dLbl>
            <c:dLbl>
              <c:idx val="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4-3581-C84D-BA8C-1649F7CE982A}"/>
                </c:ext>
              </c:extLst>
            </c:dLbl>
            <c:dLbl>
              <c:idx val="8"/>
              <c:tx>
                <c:rich>
                  <a:bodyPr/>
                  <a:lstStyle/>
                  <a:p>
                    <a:fld id="{E4218196-C603-8141-B8E8-3BD8B9E337A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3581-C84D-BA8C-1649F7CE982A}"/>
                </c:ext>
              </c:extLst>
            </c:dLbl>
            <c:dLbl>
              <c:idx val="9"/>
              <c:tx>
                <c:rich>
                  <a:bodyPr/>
                  <a:lstStyle/>
                  <a:p>
                    <a:fld id="{69D946EA-8B4C-BA4F-99B7-ED4D716D90B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3581-C84D-BA8C-1649F7CE982A}"/>
                </c:ext>
              </c:extLst>
            </c:dLbl>
            <c:dLbl>
              <c:idx val="10"/>
              <c:tx>
                <c:rich>
                  <a:bodyPr/>
                  <a:lstStyle/>
                  <a:p>
                    <a:fld id="{9F135ECE-3C37-F844-8EAF-403ED69CC89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3581-C84D-BA8C-1649F7CE982A}"/>
                </c:ext>
              </c:extLst>
            </c:dLbl>
            <c:dLbl>
              <c:idx val="11"/>
              <c:tx>
                <c:rich>
                  <a:bodyPr/>
                  <a:lstStyle/>
                  <a:p>
                    <a:fld id="{F7A8610C-170F-8644-8744-6DF392EDC4A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3581-C84D-BA8C-1649F7CE982A}"/>
                </c:ext>
              </c:extLst>
            </c:dLbl>
            <c:dLbl>
              <c:idx val="12"/>
              <c:tx>
                <c:rich>
                  <a:bodyPr/>
                  <a:lstStyle/>
                  <a:p>
                    <a:fld id="{06786F6D-BBF8-1545-8F4E-340D7827D7B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3581-C84D-BA8C-1649F7CE982A}"/>
                </c:ext>
              </c:extLst>
            </c:dLbl>
            <c:dLbl>
              <c:idx val="13"/>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3581-C84D-BA8C-1649F7CE982A}"/>
                </c:ext>
              </c:extLst>
            </c:dLbl>
            <c:dLbl>
              <c:idx val="14"/>
              <c:tx>
                <c:rich>
                  <a:bodyPr/>
                  <a:lstStyle/>
                  <a:p>
                    <a:fld id="{C5F6D3B4-CEA6-524C-8D36-2AAF3898546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3581-C84D-BA8C-1649F7CE982A}"/>
                </c:ext>
              </c:extLst>
            </c:dLbl>
            <c:dLbl>
              <c:idx val="15"/>
              <c:tx>
                <c:rich>
                  <a:bodyPr/>
                  <a:lstStyle/>
                  <a:p>
                    <a:fld id="{0E3E86C2-B0AA-E14C-AB85-B223A908116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3581-C84D-BA8C-1649F7CE982A}"/>
                </c:ext>
              </c:extLst>
            </c:dLbl>
            <c:dLbl>
              <c:idx val="16"/>
              <c:tx>
                <c:rich>
                  <a:bodyPr/>
                  <a:lstStyle/>
                  <a:p>
                    <a:fld id="{08F8AF5E-1AA4-6642-99BE-64CFC650FE9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3581-C84D-BA8C-1649F7CE982A}"/>
                </c:ext>
              </c:extLst>
            </c:dLbl>
            <c:dLbl>
              <c:idx val="1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E-3581-C84D-BA8C-1649F7CE982A}"/>
                </c:ext>
              </c:extLst>
            </c:dLbl>
            <c:dLbl>
              <c:idx val="18"/>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F-3581-C84D-BA8C-1649F7CE982A}"/>
                </c:ext>
              </c:extLst>
            </c:dLbl>
            <c:dLbl>
              <c:idx val="19"/>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0-3581-C84D-BA8C-1649F7CE982A}"/>
                </c:ext>
              </c:extLst>
            </c:dLbl>
            <c:spPr>
              <a:solidFill>
                <a:schemeClr val="lt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PEPSI!$AP$5:$AP$24</c:f>
              <c:numCache>
                <c:formatCode>0.0</c:formatCode>
                <c:ptCount val="20"/>
                <c:pt idx="0">
                  <c:v>#N/A</c:v>
                </c:pt>
                <c:pt idx="1">
                  <c:v>17.920504612419663</c:v>
                </c:pt>
                <c:pt idx="2">
                  <c:v>21.837171279086327</c:v>
                </c:pt>
                <c:pt idx="3">
                  <c:v>22.003837945752995</c:v>
                </c:pt>
                <c:pt idx="4">
                  <c:v>22.403837945752993</c:v>
                </c:pt>
                <c:pt idx="5">
                  <c:v>#N/A</c:v>
                </c:pt>
                <c:pt idx="6">
                  <c:v>#N/A</c:v>
                </c:pt>
                <c:pt idx="7">
                  <c:v>#N/A</c:v>
                </c:pt>
                <c:pt idx="8">
                  <c:v>1.1705046124196619</c:v>
                </c:pt>
                <c:pt idx="9">
                  <c:v>2.0705046124196613</c:v>
                </c:pt>
                <c:pt idx="10">
                  <c:v>4.2205046124196608</c:v>
                </c:pt>
                <c:pt idx="11">
                  <c:v>4.9205046124196592</c:v>
                </c:pt>
                <c:pt idx="12">
                  <c:v>6.170504612419661</c:v>
                </c:pt>
                <c:pt idx="13">
                  <c:v>#N/A</c:v>
                </c:pt>
                <c:pt idx="14">
                  <c:v>17.353837945752993</c:v>
                </c:pt>
                <c:pt idx="15">
                  <c:v>19.303837945752996</c:v>
                </c:pt>
                <c:pt idx="16">
                  <c:v>20.670504612419656</c:v>
                </c:pt>
                <c:pt idx="17">
                  <c:v>#N/A</c:v>
                </c:pt>
                <c:pt idx="18">
                  <c:v>#N/A</c:v>
                </c:pt>
                <c:pt idx="19">
                  <c:v>#N/A</c:v>
                </c:pt>
              </c:numCache>
            </c:numRef>
          </c:xVal>
          <c:yVal>
            <c:numRef>
              <c:f>PEPSI!$AQ$5:$AQ$24</c:f>
              <c:numCache>
                <c:formatCode>0</c:formatCode>
                <c:ptCount val="20"/>
                <c:pt idx="0">
                  <c:v>#N/A</c:v>
                </c:pt>
                <c:pt idx="1">
                  <c:v>67.11666666666666</c:v>
                </c:pt>
                <c:pt idx="2">
                  <c:v>71.483333333333334</c:v>
                </c:pt>
                <c:pt idx="3">
                  <c:v>61.666666666666671</c:v>
                </c:pt>
                <c:pt idx="4">
                  <c:v>61.116666666666667</c:v>
                </c:pt>
                <c:pt idx="5">
                  <c:v>#N/A</c:v>
                </c:pt>
                <c:pt idx="6">
                  <c:v>#N/A</c:v>
                </c:pt>
                <c:pt idx="7">
                  <c:v>#N/A</c:v>
                </c:pt>
                <c:pt idx="8">
                  <c:v>58.199999999999996</c:v>
                </c:pt>
                <c:pt idx="9">
                  <c:v>87.05000000000004</c:v>
                </c:pt>
                <c:pt idx="10">
                  <c:v>60.316666666666677</c:v>
                </c:pt>
                <c:pt idx="11">
                  <c:v>53.933333333333337</c:v>
                </c:pt>
                <c:pt idx="12">
                  <c:v>36.750000000000007</c:v>
                </c:pt>
                <c:pt idx="13">
                  <c:v>#N/A</c:v>
                </c:pt>
                <c:pt idx="14">
                  <c:v>74.099999999999994</c:v>
                </c:pt>
                <c:pt idx="15">
                  <c:v>65.966666666666683</c:v>
                </c:pt>
                <c:pt idx="16">
                  <c:v>60.733333333333341</c:v>
                </c:pt>
                <c:pt idx="17">
                  <c:v>#N/A</c:v>
                </c:pt>
                <c:pt idx="18">
                  <c:v>#N/A</c:v>
                </c:pt>
                <c:pt idx="19">
                  <c:v>#N/A</c:v>
                </c:pt>
              </c:numCache>
            </c:numRef>
          </c:yVal>
          <c:smooth val="1"/>
          <c:extLst>
            <c:ext xmlns:c15="http://schemas.microsoft.com/office/drawing/2012/chart" uri="{02D57815-91ED-43cb-92C2-25804820EDAC}">
              <c15:datalabelsRange>
                <c15:f>PEPSI!$AC$5:$AC$24</c15:f>
                <c15:dlblRangeCache>
                  <c:ptCount val="20"/>
                  <c:pt idx="0">
                    <c:v>6.90</c:v>
                  </c:pt>
                  <c:pt idx="1">
                    <c:v>4.20</c:v>
                  </c:pt>
                  <c:pt idx="2">
                    <c:v>0.07</c:v>
                  </c:pt>
                  <c:pt idx="3">
                    <c:v>0.17</c:v>
                  </c:pt>
                  <c:pt idx="4">
                    <c:v>0.14</c:v>
                  </c:pt>
                  <c:pt idx="5">
                    <c:v>0.10</c:v>
                  </c:pt>
                  <c:pt idx="6">
                    <c:v>0.13</c:v>
                  </c:pt>
                  <c:pt idx="7">
                    <c:v>0.10</c:v>
                  </c:pt>
                  <c:pt idx="8">
                    <c:v>0.11</c:v>
                  </c:pt>
                  <c:pt idx="9">
                    <c:v>0.03</c:v>
                  </c:pt>
                  <c:pt idx="10">
                    <c:v>0.10</c:v>
                  </c:pt>
                  <c:pt idx="11">
                    <c:v>0.16</c:v>
                  </c:pt>
                  <c:pt idx="12">
                    <c:v>0.13</c:v>
                  </c:pt>
                  <c:pt idx="13">
                    <c:v>0.22</c:v>
                  </c:pt>
                  <c:pt idx="14">
                    <c:v>0.11</c:v>
                  </c:pt>
                  <c:pt idx="15">
                    <c:v>0.16</c:v>
                  </c:pt>
                  <c:pt idx="16">
                    <c:v>0.05</c:v>
                  </c:pt>
                </c15:dlblRangeCache>
              </c15:datalabelsRange>
            </c:ext>
            <c:ext xmlns:c16="http://schemas.microsoft.com/office/drawing/2014/chart" uri="{C3380CC4-5D6E-409C-BE32-E72D297353CC}">
              <c16:uniqueId val="{00000042-3581-C84D-BA8C-1649F7CE982A}"/>
            </c:ext>
          </c:extLst>
        </c:ser>
        <c:ser>
          <c:idx val="36"/>
          <c:order val="31"/>
          <c:tx>
            <c:v>Partners</c:v>
          </c:tx>
          <c:spPr>
            <a:ln>
              <a:noFill/>
            </a:ln>
          </c:spPr>
          <c:marker>
            <c:symbol val="none"/>
          </c:marker>
          <c:dLbls>
            <c:dLbl>
              <c:idx val="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F9C3-5A4B-B27A-7AF75E63C30F}"/>
                </c:ext>
              </c:extLst>
            </c:dLbl>
            <c:dLbl>
              <c:idx val="1"/>
              <c:tx>
                <c:rich>
                  <a:bodyPr/>
                  <a:lstStyle/>
                  <a:p>
                    <a:fld id="{0E222DB8-EA0C-FE49-BCEA-CB99B82F3FD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9C3-5A4B-B27A-7AF75E63C30F}"/>
                </c:ext>
              </c:extLst>
            </c:dLbl>
            <c:dLbl>
              <c:idx val="2"/>
              <c:tx>
                <c:rich>
                  <a:bodyPr/>
                  <a:lstStyle/>
                  <a:p>
                    <a:fld id="{F6FB622E-F171-6B4E-AF3B-E57DD1F57A6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9C3-5A4B-B27A-7AF75E63C30F}"/>
                </c:ext>
              </c:extLst>
            </c:dLbl>
            <c:dLbl>
              <c:idx val="3"/>
              <c:tx>
                <c:rich>
                  <a:bodyPr/>
                  <a:lstStyle/>
                  <a:p>
                    <a:fld id="{5E47399D-7D9F-024C-8C64-620AAA02344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9C3-5A4B-B27A-7AF75E63C30F}"/>
                </c:ext>
              </c:extLst>
            </c:dLbl>
            <c:dLbl>
              <c:idx val="4"/>
              <c:tx>
                <c:rich>
                  <a:bodyPr/>
                  <a:lstStyle/>
                  <a:p>
                    <a:fld id="{2D313D78-6F0B-C441-9EA7-CB456E45274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9C3-5A4B-B27A-7AF75E63C30F}"/>
                </c:ext>
              </c:extLst>
            </c:dLbl>
            <c:dLbl>
              <c:idx val="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F9C3-5A4B-B27A-7AF75E63C30F}"/>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F9C3-5A4B-B27A-7AF75E63C30F}"/>
                </c:ext>
              </c:extLst>
            </c:dLbl>
            <c:dLbl>
              <c:idx val="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F9C3-5A4B-B27A-7AF75E63C30F}"/>
                </c:ext>
              </c:extLst>
            </c:dLbl>
            <c:dLbl>
              <c:idx val="8"/>
              <c:tx>
                <c:rich>
                  <a:bodyPr/>
                  <a:lstStyle/>
                  <a:p>
                    <a:fld id="{FD3C89CA-B043-F247-9E94-06E36D11874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9C3-5A4B-B27A-7AF75E63C30F}"/>
                </c:ext>
              </c:extLst>
            </c:dLbl>
            <c:dLbl>
              <c:idx val="9"/>
              <c:tx>
                <c:rich>
                  <a:bodyPr/>
                  <a:lstStyle/>
                  <a:p>
                    <a:fld id="{B111C7CD-BCF5-0945-8F42-675D3DC9904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9C3-5A4B-B27A-7AF75E63C30F}"/>
                </c:ext>
              </c:extLst>
            </c:dLbl>
            <c:dLbl>
              <c:idx val="10"/>
              <c:tx>
                <c:rich>
                  <a:bodyPr/>
                  <a:lstStyle/>
                  <a:p>
                    <a:fld id="{07A3AE0C-D9A7-644D-9AC2-2692959FF17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9C3-5A4B-B27A-7AF75E63C30F}"/>
                </c:ext>
              </c:extLst>
            </c:dLbl>
            <c:dLbl>
              <c:idx val="11"/>
              <c:tx>
                <c:rich>
                  <a:bodyPr/>
                  <a:lstStyle/>
                  <a:p>
                    <a:fld id="{FEE23D33-FA5F-C24E-A514-640F427B92C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9C3-5A4B-B27A-7AF75E63C30F}"/>
                </c:ext>
              </c:extLst>
            </c:dLbl>
            <c:dLbl>
              <c:idx val="12"/>
              <c:tx>
                <c:rich>
                  <a:bodyPr/>
                  <a:lstStyle/>
                  <a:p>
                    <a:fld id="{933D8E7F-C2DC-A04D-AC4D-C352C6364E7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9C3-5A4B-B27A-7AF75E63C30F}"/>
                </c:ext>
              </c:extLst>
            </c:dLbl>
            <c:dLbl>
              <c:idx val="1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F9C3-5A4B-B27A-7AF75E63C30F}"/>
                </c:ext>
              </c:extLst>
            </c:dLbl>
            <c:dLbl>
              <c:idx val="14"/>
              <c:tx>
                <c:rich>
                  <a:bodyPr/>
                  <a:lstStyle/>
                  <a:p>
                    <a:fld id="{D5453D18-C0A2-4F47-8B93-96591BD07AE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9C3-5A4B-B27A-7AF75E63C30F}"/>
                </c:ext>
              </c:extLst>
            </c:dLbl>
            <c:dLbl>
              <c:idx val="15"/>
              <c:tx>
                <c:rich>
                  <a:bodyPr/>
                  <a:lstStyle/>
                  <a:p>
                    <a:fld id="{804FEA11-87BF-B845-9E8F-3AADAD4699D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F9C3-5A4B-B27A-7AF75E63C30F}"/>
                </c:ext>
              </c:extLst>
            </c:dLbl>
            <c:dLbl>
              <c:idx val="16"/>
              <c:tx>
                <c:rich>
                  <a:bodyPr/>
                  <a:lstStyle/>
                  <a:p>
                    <a:fld id="{0A6BDE6B-9B5F-D64A-876D-2EEE46D9D7C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F9C3-5A4B-B27A-7AF75E63C30F}"/>
                </c:ext>
              </c:extLst>
            </c:dLbl>
            <c:dLbl>
              <c:idx val="1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F9C3-5A4B-B27A-7AF75E63C30F}"/>
                </c:ext>
              </c:extLst>
            </c:dLbl>
            <c:dLbl>
              <c:idx val="1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F9C3-5A4B-B27A-7AF75E63C30F}"/>
                </c:ext>
              </c:extLst>
            </c:dLbl>
            <c:dLbl>
              <c:idx val="1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F9C3-5A4B-B27A-7AF75E63C30F}"/>
                </c:ext>
              </c:extLst>
            </c:dLbl>
            <c:spPr>
              <a:solidFill>
                <a:schemeClr val="lt1"/>
              </a:solidFill>
              <a:ln>
                <a:noFill/>
              </a:ln>
              <a:effectLst/>
            </c:spPr>
            <c:txPr>
              <a:bodyPr rot="-5400000" vert="horz" wrap="square" lIns="38100" tIns="19050" rIns="38100" bIns="19050" anchor="ctr">
                <a:spAutoFit/>
              </a:bodyPr>
              <a:lstStyle/>
              <a:p>
                <a:pPr>
                  <a:defRPr sz="800" b="1"/>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PEPSI!$AP$5:$AP$24</c:f>
              <c:numCache>
                <c:formatCode>0.0</c:formatCode>
                <c:ptCount val="20"/>
                <c:pt idx="0">
                  <c:v>#N/A</c:v>
                </c:pt>
                <c:pt idx="1">
                  <c:v>17.920504612419663</c:v>
                </c:pt>
                <c:pt idx="2">
                  <c:v>21.837171279086327</c:v>
                </c:pt>
                <c:pt idx="3">
                  <c:v>22.003837945752995</c:v>
                </c:pt>
                <c:pt idx="4">
                  <c:v>22.403837945752993</c:v>
                </c:pt>
                <c:pt idx="5">
                  <c:v>#N/A</c:v>
                </c:pt>
                <c:pt idx="6">
                  <c:v>#N/A</c:v>
                </c:pt>
                <c:pt idx="7">
                  <c:v>#N/A</c:v>
                </c:pt>
                <c:pt idx="8">
                  <c:v>1.1705046124196619</c:v>
                </c:pt>
                <c:pt idx="9">
                  <c:v>2.0705046124196613</c:v>
                </c:pt>
                <c:pt idx="10">
                  <c:v>4.2205046124196608</c:v>
                </c:pt>
                <c:pt idx="11">
                  <c:v>4.9205046124196592</c:v>
                </c:pt>
                <c:pt idx="12">
                  <c:v>6.170504612419661</c:v>
                </c:pt>
                <c:pt idx="13">
                  <c:v>#N/A</c:v>
                </c:pt>
                <c:pt idx="14">
                  <c:v>17.353837945752993</c:v>
                </c:pt>
                <c:pt idx="15">
                  <c:v>19.303837945752996</c:v>
                </c:pt>
                <c:pt idx="16">
                  <c:v>20.670504612419656</c:v>
                </c:pt>
                <c:pt idx="17">
                  <c:v>#N/A</c:v>
                </c:pt>
                <c:pt idx="18">
                  <c:v>#N/A</c:v>
                </c:pt>
                <c:pt idx="19">
                  <c:v>#N/A</c:v>
                </c:pt>
              </c:numCache>
            </c:numRef>
          </c:xVal>
          <c:yVal>
            <c:numRef>
              <c:f>PEPSI!$AQ$5:$AQ$24</c:f>
              <c:numCache>
                <c:formatCode>0</c:formatCode>
                <c:ptCount val="20"/>
                <c:pt idx="0">
                  <c:v>#N/A</c:v>
                </c:pt>
                <c:pt idx="1">
                  <c:v>67.11666666666666</c:v>
                </c:pt>
                <c:pt idx="2">
                  <c:v>71.483333333333334</c:v>
                </c:pt>
                <c:pt idx="3">
                  <c:v>61.666666666666671</c:v>
                </c:pt>
                <c:pt idx="4">
                  <c:v>61.116666666666667</c:v>
                </c:pt>
                <c:pt idx="5">
                  <c:v>#N/A</c:v>
                </c:pt>
                <c:pt idx="6">
                  <c:v>#N/A</c:v>
                </c:pt>
                <c:pt idx="7">
                  <c:v>#N/A</c:v>
                </c:pt>
                <c:pt idx="8">
                  <c:v>58.199999999999996</c:v>
                </c:pt>
                <c:pt idx="9">
                  <c:v>87.05000000000004</c:v>
                </c:pt>
                <c:pt idx="10">
                  <c:v>60.316666666666677</c:v>
                </c:pt>
                <c:pt idx="11">
                  <c:v>53.933333333333337</c:v>
                </c:pt>
                <c:pt idx="12">
                  <c:v>36.750000000000007</c:v>
                </c:pt>
                <c:pt idx="13">
                  <c:v>#N/A</c:v>
                </c:pt>
                <c:pt idx="14">
                  <c:v>74.099999999999994</c:v>
                </c:pt>
                <c:pt idx="15">
                  <c:v>65.966666666666683</c:v>
                </c:pt>
                <c:pt idx="16">
                  <c:v>60.733333333333341</c:v>
                </c:pt>
                <c:pt idx="17">
                  <c:v>#N/A</c:v>
                </c:pt>
                <c:pt idx="18">
                  <c:v>#N/A</c:v>
                </c:pt>
                <c:pt idx="19">
                  <c:v>#N/A</c:v>
                </c:pt>
              </c:numCache>
            </c:numRef>
          </c:yVal>
          <c:smooth val="1"/>
          <c:extLst>
            <c:ext xmlns:c15="http://schemas.microsoft.com/office/drawing/2012/chart" uri="{02D57815-91ED-43cb-92C2-25804820EDAC}">
              <c15:datalabelsRange>
                <c15:f>PEPSI!$X$5:$X$24</c15:f>
                <c15:dlblRangeCache>
                  <c:ptCount val="20"/>
                  <c:pt idx="0">
                    <c:v>OSU</c:v>
                  </c:pt>
                  <c:pt idx="1">
                    <c:v>OSU</c:v>
                  </c:pt>
                  <c:pt idx="2">
                    <c:v>UVa</c:v>
                  </c:pt>
                  <c:pt idx="3">
                    <c:v>UVa</c:v>
                  </c:pt>
                  <c:pt idx="4">
                    <c:v>UVa</c:v>
                  </c:pt>
                  <c:pt idx="5">
                    <c:v>UVa</c:v>
                  </c:pt>
                  <c:pt idx="6">
                    <c:v>UVa</c:v>
                  </c:pt>
                  <c:pt idx="7">
                    <c:v>UVa</c:v>
                  </c:pt>
                  <c:pt idx="8">
                    <c:v>UVa</c:v>
                  </c:pt>
                  <c:pt idx="9">
                    <c:v>UVa</c:v>
                  </c:pt>
                  <c:pt idx="10">
                    <c:v>UVa</c:v>
                  </c:pt>
                  <c:pt idx="11">
                    <c:v>UVa</c:v>
                  </c:pt>
                  <c:pt idx="12">
                    <c:v>UVa</c:v>
                  </c:pt>
                  <c:pt idx="13">
                    <c:v>UVa</c:v>
                  </c:pt>
                  <c:pt idx="14">
                    <c:v>UVa</c:v>
                  </c:pt>
                  <c:pt idx="15">
                    <c:v>UVa</c:v>
                  </c:pt>
                  <c:pt idx="16">
                    <c:v>UVa</c:v>
                  </c:pt>
                </c15:dlblRangeCache>
              </c15:datalabelsRange>
            </c:ext>
            <c:ext xmlns:c16="http://schemas.microsoft.com/office/drawing/2014/chart" uri="{C3380CC4-5D6E-409C-BE32-E72D297353CC}">
              <c16:uniqueId val="{00000002-F9C3-5A4B-B27A-7AF75E63C30F}"/>
            </c:ext>
          </c:extLst>
        </c:ser>
        <c:ser>
          <c:idx val="14"/>
          <c:order val="32"/>
          <c:tx>
            <c:v>"Labels"</c:v>
          </c:tx>
          <c:spPr>
            <a:ln w="19050" cap="rnd">
              <a:noFill/>
              <a:round/>
            </a:ln>
            <a:effectLst/>
          </c:spPr>
          <c:marker>
            <c:symbol val="none"/>
          </c:marker>
          <c:dLbls>
            <c:dLbl>
              <c:idx val="0"/>
              <c:tx>
                <c:rich>
                  <a:bodyPr rot="-5400000" spcFirstLastPara="1" vertOverflow="ellipsis" wrap="square" lIns="36576" tIns="19050" rIns="38100" bIns="19050" anchor="ctr" anchorCtr="1">
                    <a:spAutoFit/>
                  </a:bodyPr>
                  <a:lstStyle/>
                  <a:p>
                    <a:pPr>
                      <a:defRPr sz="900" b="1" i="0" u="none" strike="noStrike" kern="1200" baseline="0">
                        <a:solidFill>
                          <a:schemeClr val="tx1"/>
                        </a:solidFill>
                        <a:latin typeface="+mn-lt"/>
                        <a:ea typeface="+mn-ea"/>
                        <a:cs typeface="+mn-cs"/>
                      </a:defRPr>
                    </a:pPr>
                    <a:fld id="{C8E9FEF2-AEE0-3444-8785-8B641017F7D2}" type="CELLRANGE">
                      <a:rPr lang="en-US"/>
                      <a:pPr>
                        <a:defRPr sz="900" b="1" i="0" u="none" strike="noStrike" kern="1200" baseline="0">
                          <a:solidFill>
                            <a:schemeClr val="tx1"/>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3-3581-C84D-BA8C-1649F7CE982A}"/>
                </c:ext>
              </c:extLst>
            </c:dLbl>
            <c:dLbl>
              <c:idx val="1"/>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4-3581-C84D-BA8C-1649F7CE982A}"/>
                </c:ext>
              </c:extLst>
            </c:dLbl>
            <c:dLbl>
              <c:idx val="2"/>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58E256B7-419F-8E48-84B4-F51FE8C54CC9}"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5-3581-C84D-BA8C-1649F7CE982A}"/>
                </c:ext>
              </c:extLst>
            </c:dLbl>
            <c:dLbl>
              <c:idx val="3"/>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fld id="{804541B5-BF1C-4D4C-9567-8DD1AC24BA42}" type="CELLRANGE">
                      <a:rPr lang="en-US"/>
                      <a:pPr>
                        <a:defRPr sz="900" b="1" i="0" u="none" strike="noStrike" kern="1200" baseline="0">
                          <a:solidFill>
                            <a:srgbClr val="00B0F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6-3581-C84D-BA8C-1649F7CE982A}"/>
                </c:ext>
              </c:extLst>
            </c:dLbl>
            <c:dLbl>
              <c:idx val="4"/>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fld id="{7674A136-42B8-7646-96A8-9A9D986C70A8}" type="CELLRANGE">
                      <a:rPr lang="en-US"/>
                      <a:pPr>
                        <a:defRPr sz="900" b="1" i="0" u="none" strike="noStrike" kern="1200" baseline="0">
                          <a:solidFill>
                            <a:srgbClr val="00B0F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7-3581-C84D-BA8C-1649F7CE982A}"/>
                </c:ext>
              </c:extLst>
            </c:dLbl>
            <c:dLbl>
              <c:idx val="5"/>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fld id="{7FF9678F-A918-FE43-8F66-C953A29B96B3}" type="CELLRANGE">
                      <a:rPr lang="en-US"/>
                      <a:pPr>
                        <a:defRPr sz="900" b="1" i="0" u="none" strike="noStrike" kern="1200" baseline="0">
                          <a:solidFill>
                            <a:srgbClr val="00B0F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8-3581-C84D-BA8C-1649F7CE982A}"/>
                </c:ext>
              </c:extLst>
            </c:dLbl>
            <c:dLbl>
              <c:idx val="6"/>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9-3581-C84D-BA8C-1649F7CE982A}"/>
                </c:ext>
              </c:extLst>
            </c:dLbl>
            <c:dLbl>
              <c:idx val="7"/>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A-3581-C84D-BA8C-1649F7CE982A}"/>
                </c:ext>
              </c:extLst>
            </c:dLbl>
            <c:dLbl>
              <c:idx val="8"/>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B-3581-C84D-BA8C-1649F7CE982A}"/>
                </c:ext>
              </c:extLst>
            </c:dLbl>
            <c:dLbl>
              <c:idx val="9"/>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fld id="{37EEE36F-3401-2140-B003-43A71B428604}" type="CELLRANGE">
                      <a:rPr lang="en-US"/>
                      <a:pPr>
                        <a:defRPr sz="900" b="1" i="0" u="none" strike="noStrike" kern="1200" baseline="0">
                          <a:solidFill>
                            <a:srgbClr val="00B0F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C-3581-C84D-BA8C-1649F7CE982A}"/>
                </c:ext>
              </c:extLst>
            </c:dLbl>
            <c:dLbl>
              <c:idx val="10"/>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D832989D-6689-7C43-8BD3-FF71255CD764}"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D-3581-C84D-BA8C-1649F7CE982A}"/>
                </c:ext>
              </c:extLst>
            </c:dLbl>
            <c:dLbl>
              <c:idx val="11"/>
              <c:tx>
                <c:rich>
                  <a:bodyPr/>
                  <a:lstStyle/>
                  <a:p>
                    <a:fld id="{724CC6EC-CD06-CB46-8CEF-7273FE19012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3581-C84D-BA8C-1649F7CE982A}"/>
                </c:ext>
              </c:extLst>
            </c:dLbl>
            <c:dLbl>
              <c:idx val="12"/>
              <c:tx>
                <c:rich>
                  <a:bodyPr/>
                  <a:lstStyle/>
                  <a:p>
                    <a:fld id="{4EAFBE29-01B4-9641-BCA3-6A36E7AB5C7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3581-C84D-BA8C-1649F7CE982A}"/>
                </c:ext>
              </c:extLst>
            </c:dLbl>
            <c:dLbl>
              <c:idx val="13"/>
              <c:tx>
                <c:rich>
                  <a:bodyPr/>
                  <a:lstStyle/>
                  <a:p>
                    <a:fld id="{66536E0E-BDC6-FF4A-9F0B-C1874EB0A9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3581-C84D-BA8C-1649F7CE982A}"/>
                </c:ext>
              </c:extLst>
            </c:dLbl>
            <c:dLbl>
              <c:idx val="14"/>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51-3581-C84D-BA8C-1649F7CE982A}"/>
                </c:ext>
              </c:extLst>
            </c:dLbl>
            <c:dLbl>
              <c:idx val="15"/>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fld id="{1A7FF9D4-6EA8-514D-AA57-F73EF3B0D86C}" type="CELLRANGE">
                      <a:rPr lang="en-US"/>
                      <a:pPr>
                        <a:defRPr sz="900" b="1" i="0" u="none" strike="noStrike" kern="1200" baseline="0">
                          <a:solidFill>
                            <a:srgbClr val="00B0F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52-3581-C84D-BA8C-1649F7CE982A}"/>
                </c:ext>
              </c:extLst>
            </c:dLbl>
            <c:dLbl>
              <c:idx val="16"/>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fld id="{CD852241-4847-9043-8924-A486C2857B51}" type="CELLRANGE">
                      <a:rPr lang="en-US"/>
                      <a:pPr>
                        <a:defRPr sz="900" b="1" i="0" u="none" strike="noStrike" kern="1200" baseline="0">
                          <a:solidFill>
                            <a:srgbClr val="00B0F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53-3581-C84D-BA8C-1649F7CE982A}"/>
                </c:ext>
              </c:extLst>
            </c:dLbl>
            <c:dLbl>
              <c:idx val="17"/>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DAC3ECC4-543E-A047-8582-AB16CCD9C2E2}"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54-3581-C84D-BA8C-1649F7CE982A}"/>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5-3581-C84D-BA8C-1649F7CE982A}"/>
                </c:ext>
              </c:extLst>
            </c:dLbl>
            <c:dLbl>
              <c:idx val="1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6-3581-C84D-BA8C-1649F7CE982A}"/>
                </c:ext>
              </c:extLst>
            </c:dLbl>
            <c:dLbl>
              <c:idx val="2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7-3581-C84D-BA8C-1649F7CE982A}"/>
                </c:ext>
              </c:extLst>
            </c:dLbl>
            <c:spPr>
              <a:solidFill>
                <a:schemeClr val="lt1"/>
              </a:solidFill>
              <a:ln>
                <a:noFill/>
              </a:ln>
              <a:effectLst/>
            </c:spPr>
            <c:txPr>
              <a:bodyPr rot="-5400000" spcFirstLastPara="1" vertOverflow="ellipsis" wrap="square" lIns="36576"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xVal>
            <c:numRef>
              <c:f>PEPSI!$AP$4:$AP$24</c:f>
              <c:numCache>
                <c:formatCode>0.0</c:formatCode>
                <c:ptCount val="21"/>
                <c:pt idx="0">
                  <c:v>18.988156148967683</c:v>
                </c:pt>
                <c:pt idx="1">
                  <c:v>#N/A</c:v>
                </c:pt>
                <c:pt idx="2">
                  <c:v>17.920504612419663</c:v>
                </c:pt>
                <c:pt idx="3">
                  <c:v>21.837171279086327</c:v>
                </c:pt>
                <c:pt idx="4">
                  <c:v>22.003837945752995</c:v>
                </c:pt>
                <c:pt idx="5">
                  <c:v>22.403837945752993</c:v>
                </c:pt>
                <c:pt idx="6">
                  <c:v>#N/A</c:v>
                </c:pt>
                <c:pt idx="7">
                  <c:v>#N/A</c:v>
                </c:pt>
                <c:pt idx="8">
                  <c:v>#N/A</c:v>
                </c:pt>
                <c:pt idx="9">
                  <c:v>1.1705046124196619</c:v>
                </c:pt>
                <c:pt idx="10">
                  <c:v>2.0705046124196613</c:v>
                </c:pt>
                <c:pt idx="11">
                  <c:v>4.2205046124196608</c:v>
                </c:pt>
                <c:pt idx="12">
                  <c:v>4.9205046124196592</c:v>
                </c:pt>
                <c:pt idx="13">
                  <c:v>6.170504612419661</c:v>
                </c:pt>
                <c:pt idx="14">
                  <c:v>#N/A</c:v>
                </c:pt>
                <c:pt idx="15">
                  <c:v>17.353837945752993</c:v>
                </c:pt>
                <c:pt idx="16">
                  <c:v>19.303837945752996</c:v>
                </c:pt>
                <c:pt idx="17">
                  <c:v>20.670504612419656</c:v>
                </c:pt>
                <c:pt idx="18">
                  <c:v>#N/A</c:v>
                </c:pt>
                <c:pt idx="19">
                  <c:v>#N/A</c:v>
                </c:pt>
                <c:pt idx="20">
                  <c:v>#N/A</c:v>
                </c:pt>
              </c:numCache>
            </c:numRef>
          </c:xVal>
          <c:yVal>
            <c:numRef>
              <c:f>PEPSI!$AQ$4:$AQ$24</c:f>
              <c:numCache>
                <c:formatCode>0</c:formatCode>
                <c:ptCount val="21"/>
                <c:pt idx="0">
                  <c:v>43.105636220368886</c:v>
                </c:pt>
                <c:pt idx="1">
                  <c:v>#N/A</c:v>
                </c:pt>
                <c:pt idx="2">
                  <c:v>67.11666666666666</c:v>
                </c:pt>
                <c:pt idx="3">
                  <c:v>71.483333333333334</c:v>
                </c:pt>
                <c:pt idx="4">
                  <c:v>61.666666666666671</c:v>
                </c:pt>
                <c:pt idx="5">
                  <c:v>61.116666666666667</c:v>
                </c:pt>
                <c:pt idx="6">
                  <c:v>#N/A</c:v>
                </c:pt>
                <c:pt idx="7">
                  <c:v>#N/A</c:v>
                </c:pt>
                <c:pt idx="8">
                  <c:v>#N/A</c:v>
                </c:pt>
                <c:pt idx="9">
                  <c:v>58.199999999999996</c:v>
                </c:pt>
                <c:pt idx="10">
                  <c:v>87.05000000000004</c:v>
                </c:pt>
                <c:pt idx="11">
                  <c:v>60.316666666666677</c:v>
                </c:pt>
                <c:pt idx="12">
                  <c:v>53.933333333333337</c:v>
                </c:pt>
                <c:pt idx="13">
                  <c:v>36.750000000000007</c:v>
                </c:pt>
                <c:pt idx="14">
                  <c:v>#N/A</c:v>
                </c:pt>
                <c:pt idx="15">
                  <c:v>74.099999999999994</c:v>
                </c:pt>
                <c:pt idx="16">
                  <c:v>65.966666666666683</c:v>
                </c:pt>
                <c:pt idx="17">
                  <c:v>60.733333333333341</c:v>
                </c:pt>
                <c:pt idx="18">
                  <c:v>#N/A</c:v>
                </c:pt>
                <c:pt idx="19">
                  <c:v>#N/A</c:v>
                </c:pt>
                <c:pt idx="20">
                  <c:v>#N/A</c:v>
                </c:pt>
              </c:numCache>
            </c:numRef>
          </c:yVal>
          <c:smooth val="1"/>
          <c:extLst>
            <c:ext xmlns:c15="http://schemas.microsoft.com/office/drawing/2012/chart" uri="{02D57815-91ED-43cb-92C2-25804820EDAC}">
              <c15:datalabelsRange>
                <c15:f>PEPSI!$W$4:$W$24</c15:f>
                <c15:dlblRangeCache>
                  <c:ptCount val="21"/>
                  <c:pt idx="0">
                    <c:v>Moon</c:v>
                  </c:pt>
                  <c:pt idx="1">
                    <c:v>PETS-1518</c:v>
                  </c:pt>
                  <c:pt idx="2">
                    <c:v>PETS-1431</c:v>
                  </c:pt>
                  <c:pt idx="3">
                    <c:v>TIC3071</c:v>
                  </c:pt>
                  <c:pt idx="4">
                    <c:v>TIC5285</c:v>
                  </c:pt>
                  <c:pt idx="5">
                    <c:v>TIC3898</c:v>
                  </c:pt>
                  <c:pt idx="6">
                    <c:v>TIC2864</c:v>
                  </c:pt>
                  <c:pt idx="7">
                    <c:v>TIC3922</c:v>
                  </c:pt>
                  <c:pt idx="8">
                    <c:v>TIC2600</c:v>
                  </c:pt>
                  <c:pt idx="9">
                    <c:v>TIC4541</c:v>
                  </c:pt>
                  <c:pt idx="10">
                    <c:v>TIC3674</c:v>
                  </c:pt>
                  <c:pt idx="11">
                    <c:v>TIC3178</c:v>
                  </c:pt>
                  <c:pt idx="12">
                    <c:v>TIC7329</c:v>
                  </c:pt>
                  <c:pt idx="13">
                    <c:v>TIC4344</c:v>
                  </c:pt>
                  <c:pt idx="14">
                    <c:v>TIC8927</c:v>
                  </c:pt>
                  <c:pt idx="15">
                    <c:v>TIC2783</c:v>
                  </c:pt>
                  <c:pt idx="16">
                    <c:v>TIC4140</c:v>
                  </c:pt>
                  <c:pt idx="17">
                    <c:v>TIC4707</c:v>
                  </c:pt>
                </c15:dlblRangeCache>
              </c15:datalabelsRange>
            </c:ext>
            <c:ext xmlns:c16="http://schemas.microsoft.com/office/drawing/2014/chart" uri="{C3380CC4-5D6E-409C-BE32-E72D297353CC}">
              <c16:uniqueId val="{00000058-3581-C84D-BA8C-1649F7CE982A}"/>
            </c:ext>
          </c:extLst>
        </c:ser>
        <c:ser>
          <c:idx val="16"/>
          <c:order val="33"/>
          <c:tx>
            <c:v>"Instrument"</c:v>
          </c:tx>
          <c:spPr>
            <a:ln w="19050" cap="rnd">
              <a:solidFill>
                <a:schemeClr val="accent5">
                  <a:lumMod val="80000"/>
                  <a:lumOff val="20000"/>
                </a:schemeClr>
              </a:solid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E3BDB145-8283-9F4E-B742-5C8217EDC3F3}" type="CELLRANGE">
                      <a:rPr lang="en-US"/>
                      <a:pPr>
                        <a:defRPr sz="1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3581-C84D-BA8C-1649F7CE98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PEPSI!$BO$44</c:f>
              <c:numCache>
                <c:formatCode>General</c:formatCode>
                <c:ptCount val="1"/>
                <c:pt idx="0">
                  <c:v>12</c:v>
                </c:pt>
              </c:numCache>
            </c:numRef>
          </c:xVal>
          <c:yVal>
            <c:numRef>
              <c:f>PEPSI!$BP$44</c:f>
              <c:numCache>
                <c:formatCode>General</c:formatCode>
                <c:ptCount val="1"/>
                <c:pt idx="0">
                  <c:v>90</c:v>
                </c:pt>
              </c:numCache>
            </c:numRef>
          </c:yVal>
          <c:smooth val="1"/>
          <c:extLst>
            <c:ext xmlns:c15="http://schemas.microsoft.com/office/drawing/2012/chart" uri="{02D57815-91ED-43cb-92C2-25804820EDAC}">
              <c15:datalabelsRange>
                <c15:f>PEPSI!$BQ$44</c15:f>
                <c15:dlblRangeCache>
                  <c:ptCount val="1"/>
                  <c:pt idx="0">
                    <c:v>PEPSI</c:v>
                  </c:pt>
                </c15:dlblRangeCache>
              </c15:datalabelsRange>
            </c:ext>
            <c:ext xmlns:c16="http://schemas.microsoft.com/office/drawing/2014/chart" uri="{C3380CC4-5D6E-409C-BE32-E72D297353CC}">
              <c16:uniqueId val="{0000005A-3581-C84D-BA8C-1649F7CE982A}"/>
            </c:ext>
          </c:extLst>
        </c:ser>
        <c:ser>
          <c:idx val="19"/>
          <c:order val="34"/>
          <c:tx>
            <c:v>"Now"</c:v>
          </c:tx>
          <c:spPr>
            <a:ln w="19050" cap="rnd">
              <a:noFill/>
              <a:round/>
            </a:ln>
            <a:effectLst/>
          </c:spPr>
          <c:marker>
            <c:symbol val="circle"/>
            <c:size val="7"/>
            <c:spPr>
              <a:noFill/>
              <a:ln w="15875">
                <a:solidFill>
                  <a:srgbClr val="C00000"/>
                </a:solidFill>
              </a:ln>
              <a:effectLst/>
            </c:spPr>
          </c:marker>
          <c:dLbls>
            <c:dLbl>
              <c:idx val="0"/>
              <c:tx>
                <c:rich>
                  <a:bodyPr/>
                  <a:lstStyle/>
                  <a:p>
                    <a:fld id="{B16E6C9D-AD77-3C4D-B7DF-465FBF58594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B-3581-C84D-BA8C-1649F7CE982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PEPSI!$BO$45</c:f>
              <c:numCache>
                <c:formatCode>0.0</c:formatCode>
                <c:ptCount val="1"/>
                <c:pt idx="0">
                  <c:v>9.6666666666666679</c:v>
                </c:pt>
              </c:numCache>
            </c:numRef>
          </c:xVal>
          <c:yVal>
            <c:numRef>
              <c:f>PEPSI!$BP$45</c:f>
              <c:numCache>
                <c:formatCode>General</c:formatCode>
                <c:ptCount val="1"/>
                <c:pt idx="0">
                  <c:v>4</c:v>
                </c:pt>
              </c:numCache>
            </c:numRef>
          </c:yVal>
          <c:smooth val="1"/>
          <c:extLst>
            <c:ext xmlns:c15="http://schemas.microsoft.com/office/drawing/2012/chart" uri="{02D57815-91ED-43cb-92C2-25804820EDAC}">
              <c15:datalabelsRange>
                <c15:f>PEPSI!$BQ$45</c15:f>
                <c15:dlblRangeCache>
                  <c:ptCount val="1"/>
                  <c:pt idx="0">
                    <c:v>Now</c:v>
                  </c:pt>
                </c15:dlblRangeCache>
              </c15:datalabelsRange>
            </c:ext>
            <c:ext xmlns:c16="http://schemas.microsoft.com/office/drawing/2014/chart" uri="{C3380CC4-5D6E-409C-BE32-E72D297353CC}">
              <c16:uniqueId val="{0000005C-3581-C84D-BA8C-1649F7CE982A}"/>
            </c:ext>
          </c:extLst>
        </c:ser>
        <c:ser>
          <c:idx val="34"/>
          <c:order val="35"/>
          <c:tx>
            <c:v>Alt at UT</c:v>
          </c:tx>
          <c:spPr>
            <a:ln w="19050" cap="rnd">
              <a:noFill/>
              <a:round/>
            </a:ln>
            <a:effectLst/>
          </c:spPr>
          <c:marker>
            <c:symbol val="circle"/>
            <c:size val="4"/>
            <c:spPr>
              <a:solidFill>
                <a:schemeClr val="lt1"/>
              </a:solidFill>
              <a:ln w="9525">
                <a:solidFill>
                  <a:schemeClr val="accent5">
                    <a:lumMod val="50000"/>
                  </a:schemeClr>
                </a:solidFill>
              </a:ln>
              <a:effectLst/>
            </c:spPr>
          </c:marker>
          <c:errBars>
            <c:errDir val="x"/>
            <c:errBarType val="plus"/>
            <c:errValType val="cust"/>
            <c:noEndCap val="0"/>
            <c:plus>
              <c:numRef>
                <c:f>PEPSI!$AU$4:$AU$24</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plus>
            <c:minus>
              <c:numRef>
                <c:f>PEPSI!$AU$4:$AU$24</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minus>
            <c:spPr>
              <a:ln>
                <a:solidFill>
                  <a:schemeClr val="bg1">
                    <a:lumMod val="65000"/>
                  </a:schemeClr>
                </a:solidFill>
              </a:ln>
            </c:spPr>
          </c:errBars>
          <c:errBars>
            <c:errDir val="y"/>
            <c:errBarType val="both"/>
            <c:errValType val="percentage"/>
            <c:noEndCap val="1"/>
            <c:val val="5"/>
            <c:spPr>
              <a:ln>
                <a:noFill/>
              </a:ln>
            </c:spPr>
          </c:errBars>
          <c:xVal>
            <c:numRef>
              <c:f>Calcs!$Q$6:$Q$26</c:f>
              <c:numCache>
                <c:formatCode>0.00</c:formatCode>
                <c:ptCount val="21"/>
                <c:pt idx="0">
                  <c:v>9.6666666666666679</c:v>
                </c:pt>
                <c:pt idx="1">
                  <c:v>#N/A</c:v>
                </c:pt>
                <c:pt idx="2">
                  <c:v>9.6666666666666679</c:v>
                </c:pt>
                <c:pt idx="3">
                  <c:v>9.6666666666666679</c:v>
                </c:pt>
                <c:pt idx="4">
                  <c:v>9.6666666666666679</c:v>
                </c:pt>
                <c:pt idx="5">
                  <c:v>9.6666666666666679</c:v>
                </c:pt>
                <c:pt idx="6">
                  <c:v>#N/A</c:v>
                </c:pt>
                <c:pt idx="7">
                  <c:v>#N/A</c:v>
                </c:pt>
                <c:pt idx="8">
                  <c:v>#N/A</c:v>
                </c:pt>
                <c:pt idx="9">
                  <c:v>9.6666666666666679</c:v>
                </c:pt>
                <c:pt idx="10">
                  <c:v>9.6666666666666679</c:v>
                </c:pt>
                <c:pt idx="11">
                  <c:v>9.6666666666666679</c:v>
                </c:pt>
                <c:pt idx="12">
                  <c:v>9.6666666666666679</c:v>
                </c:pt>
                <c:pt idx="13">
                  <c:v>9.6666666666666679</c:v>
                </c:pt>
                <c:pt idx="14">
                  <c:v>#N/A</c:v>
                </c:pt>
                <c:pt idx="15">
                  <c:v>9.6666666666666679</c:v>
                </c:pt>
                <c:pt idx="16">
                  <c:v>9.6666666666666679</c:v>
                </c:pt>
                <c:pt idx="17">
                  <c:v>9.6666666666666679</c:v>
                </c:pt>
                <c:pt idx="18">
                  <c:v>#N/A</c:v>
                </c:pt>
                <c:pt idx="19">
                  <c:v>#N/A</c:v>
                </c:pt>
                <c:pt idx="20">
                  <c:v>#N/A</c:v>
                </c:pt>
              </c:numCache>
            </c:numRef>
          </c:xVal>
          <c:yVal>
            <c:numRef>
              <c:f>PEPSI!$AE$4:$AE$24</c:f>
              <c:numCache>
                <c:formatCode>0</c:formatCode>
                <c:ptCount val="21"/>
                <c:pt idx="0">
                  <c:v>-49.095149179685116</c:v>
                </c:pt>
                <c:pt idx="1">
                  <c:v>#N/A</c:v>
                </c:pt>
                <c:pt idx="2">
                  <c:v>10.42969703750903</c:v>
                </c:pt>
                <c:pt idx="3">
                  <c:v>-6.0530805113652608</c:v>
                </c:pt>
                <c:pt idx="4">
                  <c:v>3.8244439776426296</c:v>
                </c:pt>
                <c:pt idx="5">
                  <c:v>4.7106162985033393</c:v>
                </c:pt>
                <c:pt idx="6">
                  <c:v>#N/A</c:v>
                </c:pt>
                <c:pt idx="7">
                  <c:v>#N/A</c:v>
                </c:pt>
                <c:pt idx="8">
                  <c:v>#N/A</c:v>
                </c:pt>
                <c:pt idx="9">
                  <c:v>-30.202615836606515</c:v>
                </c:pt>
                <c:pt idx="10">
                  <c:v>2.1415643855978832</c:v>
                </c:pt>
                <c:pt idx="11">
                  <c:v>8.6182190584695668</c:v>
                </c:pt>
                <c:pt idx="12">
                  <c:v>13.833494928732289</c:v>
                </c:pt>
                <c:pt idx="13">
                  <c:v>16.898146550694843</c:v>
                </c:pt>
                <c:pt idx="14">
                  <c:v>#N/A</c:v>
                </c:pt>
                <c:pt idx="15">
                  <c:v>9.6337010164595753</c:v>
                </c:pt>
                <c:pt idx="16">
                  <c:v>4.3382820783108471</c:v>
                </c:pt>
                <c:pt idx="17">
                  <c:v>5.4359105194588855</c:v>
                </c:pt>
                <c:pt idx="18">
                  <c:v>#N/A</c:v>
                </c:pt>
                <c:pt idx="19">
                  <c:v>#N/A</c:v>
                </c:pt>
                <c:pt idx="20">
                  <c:v>#N/A</c:v>
                </c:pt>
              </c:numCache>
            </c:numRef>
          </c:yVal>
          <c:smooth val="1"/>
          <c:extLst>
            <c:ext xmlns:c16="http://schemas.microsoft.com/office/drawing/2014/chart" uri="{C3380CC4-5D6E-409C-BE32-E72D297353CC}">
              <c16:uniqueId val="{0000005D-3581-C84D-BA8C-1649F7CE982A}"/>
            </c:ext>
          </c:extLst>
        </c:ser>
        <c:ser>
          <c:idx val="35"/>
          <c:order val="36"/>
          <c:tx>
            <c:v>Local Time</c:v>
          </c:tx>
          <c:spPr>
            <a:ln w="19050" cap="rnd">
              <a:noFill/>
              <a:round/>
            </a:ln>
            <a:effectLst/>
          </c:spPr>
          <c:marker>
            <c:symbol val="none"/>
          </c:marker>
          <c:dLbls>
            <c:dLbl>
              <c:idx val="0"/>
              <c:tx>
                <c:rich>
                  <a:bodyPr/>
                  <a:lstStyle/>
                  <a:p>
                    <a:fld id="{210CC455-7160-E248-92E8-F4938F5C86A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3581-C84D-BA8C-1649F7CE982A}"/>
                </c:ext>
              </c:extLst>
            </c:dLbl>
            <c:dLbl>
              <c:idx val="1"/>
              <c:tx>
                <c:rich>
                  <a:bodyPr/>
                  <a:lstStyle/>
                  <a:p>
                    <a:fld id="{C9476C19-6E13-1B4B-8BB6-B1CB1903AC7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3581-C84D-BA8C-1649F7CE982A}"/>
                </c:ext>
              </c:extLst>
            </c:dLbl>
            <c:dLbl>
              <c:idx val="2"/>
              <c:tx>
                <c:rich>
                  <a:bodyPr/>
                  <a:lstStyle/>
                  <a:p>
                    <a:fld id="{5FBC8869-6405-4848-BF91-63AF140CD6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3581-C84D-BA8C-1649F7CE982A}"/>
                </c:ext>
              </c:extLst>
            </c:dLbl>
            <c:dLbl>
              <c:idx val="3"/>
              <c:tx>
                <c:rich>
                  <a:bodyPr/>
                  <a:lstStyle/>
                  <a:p>
                    <a:fld id="{B237BAD7-6D06-464D-B1F3-E5AB549401E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3581-C84D-BA8C-1649F7CE982A}"/>
                </c:ext>
              </c:extLst>
            </c:dLbl>
            <c:dLbl>
              <c:idx val="4"/>
              <c:tx>
                <c:rich>
                  <a:bodyPr/>
                  <a:lstStyle/>
                  <a:p>
                    <a:fld id="{D9B4D1FC-2530-034F-BDE4-78248A05F3A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3581-C84D-BA8C-1649F7CE982A}"/>
                </c:ext>
              </c:extLst>
            </c:dLbl>
            <c:dLbl>
              <c:idx val="5"/>
              <c:tx>
                <c:rich>
                  <a:bodyPr/>
                  <a:lstStyle/>
                  <a:p>
                    <a:fld id="{EBA1C883-EE68-8E46-B91B-1D30494F194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3581-C84D-BA8C-1649F7CE982A}"/>
                </c:ext>
              </c:extLst>
            </c:dLbl>
            <c:dLbl>
              <c:idx val="6"/>
              <c:tx>
                <c:rich>
                  <a:bodyPr/>
                  <a:lstStyle/>
                  <a:p>
                    <a:fld id="{D7E56A4D-1F6F-D54A-BE47-32443965785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3581-C84D-BA8C-1649F7CE982A}"/>
                </c:ext>
              </c:extLst>
            </c:dLbl>
            <c:dLbl>
              <c:idx val="7"/>
              <c:tx>
                <c:rich>
                  <a:bodyPr/>
                  <a:lstStyle/>
                  <a:p>
                    <a:fld id="{275A92F9-C86F-0742-A09D-5DA523A7AE2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3581-C84D-BA8C-1649F7CE982A}"/>
                </c:ext>
              </c:extLst>
            </c:dLbl>
            <c:dLbl>
              <c:idx val="8"/>
              <c:tx>
                <c:rich>
                  <a:bodyPr/>
                  <a:lstStyle/>
                  <a:p>
                    <a:fld id="{A8AEDF9E-746E-494B-9659-0EEAC489CB3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3581-C84D-BA8C-1649F7CE982A}"/>
                </c:ext>
              </c:extLst>
            </c:dLbl>
            <c:dLbl>
              <c:idx val="9"/>
              <c:tx>
                <c:rich>
                  <a:bodyPr/>
                  <a:lstStyle/>
                  <a:p>
                    <a:fld id="{6BD7838D-E4FB-1A4A-9839-5DB675AAACC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3581-C84D-BA8C-1649F7CE982A}"/>
                </c:ext>
              </c:extLst>
            </c:dLbl>
            <c:dLbl>
              <c:idx val="10"/>
              <c:tx>
                <c:rich>
                  <a:bodyPr/>
                  <a:lstStyle/>
                  <a:p>
                    <a:fld id="{91A27735-F354-3A45-9A52-44570FBDA8D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3581-C84D-BA8C-1649F7CE982A}"/>
                </c:ext>
              </c:extLst>
            </c:dLbl>
            <c:dLbl>
              <c:idx val="11"/>
              <c:tx>
                <c:rich>
                  <a:bodyPr/>
                  <a:lstStyle/>
                  <a:p>
                    <a:fld id="{17CE9CFF-FE3B-284D-8C16-B3C69777C36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3581-C84D-BA8C-1649F7CE982A}"/>
                </c:ext>
              </c:extLst>
            </c:dLbl>
            <c:dLbl>
              <c:idx val="12"/>
              <c:tx>
                <c:rich>
                  <a:bodyPr/>
                  <a:lstStyle/>
                  <a:p>
                    <a:fld id="{8598F199-DC1B-794E-82D2-DDEF5209086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3581-C84D-BA8C-1649F7CE98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Calcs!$S$4:$S$16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Calcs!$T$4:$T$16</c:f>
              <c:numCache>
                <c:formatCode>General</c:formatCode>
                <c:ptCount val="13"/>
                <c:pt idx="0">
                  <c:v>88</c:v>
                </c:pt>
                <c:pt idx="1">
                  <c:v>88</c:v>
                </c:pt>
                <c:pt idx="2">
                  <c:v>88</c:v>
                </c:pt>
                <c:pt idx="3">
                  <c:v>88</c:v>
                </c:pt>
                <c:pt idx="4">
                  <c:v>88</c:v>
                </c:pt>
                <c:pt idx="5">
                  <c:v>88</c:v>
                </c:pt>
                <c:pt idx="6">
                  <c:v>88</c:v>
                </c:pt>
                <c:pt idx="7">
                  <c:v>88</c:v>
                </c:pt>
                <c:pt idx="8">
                  <c:v>88</c:v>
                </c:pt>
                <c:pt idx="9">
                  <c:v>88</c:v>
                </c:pt>
                <c:pt idx="10">
                  <c:v>88</c:v>
                </c:pt>
                <c:pt idx="11">
                  <c:v>88</c:v>
                </c:pt>
                <c:pt idx="12">
                  <c:v>88</c:v>
                </c:pt>
              </c:numCache>
            </c:numRef>
          </c:yVal>
          <c:smooth val="1"/>
          <c:extLst>
            <c:ext xmlns:c15="http://schemas.microsoft.com/office/drawing/2012/chart" uri="{02D57815-91ED-43cb-92C2-25804820EDAC}">
              <c15:datalabelsRange>
                <c15:f>Calcs!$U$4:$U$16</c15:f>
                <c15:dlblRangeCache>
                  <c:ptCount val="13"/>
                  <c:pt idx="0">
                    <c:v>8 pm</c:v>
                  </c:pt>
                  <c:pt idx="1">
                    <c:v>9 pm</c:v>
                  </c:pt>
                  <c:pt idx="2">
                    <c:v>10 pm</c:v>
                  </c:pt>
                  <c:pt idx="3">
                    <c:v>11 pm</c:v>
                  </c:pt>
                  <c:pt idx="4">
                    <c:v>0 am</c:v>
                  </c:pt>
                  <c:pt idx="5">
                    <c:v>1 am</c:v>
                  </c:pt>
                  <c:pt idx="6">
                    <c:v>2 am</c:v>
                  </c:pt>
                  <c:pt idx="7">
                    <c:v>3 am</c:v>
                  </c:pt>
                  <c:pt idx="8">
                    <c:v>4 am</c:v>
                  </c:pt>
                  <c:pt idx="9">
                    <c:v>5 am</c:v>
                  </c:pt>
                  <c:pt idx="10">
                    <c:v>6 am</c:v>
                  </c:pt>
                  <c:pt idx="11">
                    <c:v>7 am</c:v>
                  </c:pt>
                  <c:pt idx="12">
                    <c:v>8 am</c:v>
                  </c:pt>
                </c15:dlblRangeCache>
              </c15:datalabelsRange>
            </c:ext>
            <c:ext xmlns:c16="http://schemas.microsoft.com/office/drawing/2014/chart" uri="{C3380CC4-5D6E-409C-BE32-E72D297353CC}">
              <c16:uniqueId val="{0000006B-3581-C84D-BA8C-1649F7CE982A}"/>
            </c:ext>
          </c:extLst>
        </c:ser>
        <c:ser>
          <c:idx val="37"/>
          <c:order val="37"/>
          <c:tx>
            <c:v>Date</c:v>
          </c:tx>
          <c:marker>
            <c:symbol val="none"/>
          </c:marker>
          <c:dLbls>
            <c:dLbl>
              <c:idx val="0"/>
              <c:tx>
                <c:rich>
                  <a:bodyPr/>
                  <a:lstStyle/>
                  <a:p>
                    <a:fld id="{042C62F5-9AF9-7044-B861-411B222E2BD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E54-A843-9A9E-2A0B883C1805}"/>
                </c:ext>
              </c:extLst>
            </c:dLbl>
            <c:spPr>
              <a:noFill/>
              <a:ln>
                <a:noFill/>
              </a:ln>
              <a:effectLst/>
            </c:spPr>
            <c:txPr>
              <a:bodyPr wrap="square" lIns="38100" tIns="19050" rIns="38100" bIns="19050" anchor="ctr">
                <a:spAutoFit/>
              </a:bodyPr>
              <a:lstStyle/>
              <a:p>
                <a:pPr>
                  <a:defRPr sz="1600">
                    <a:solidFill>
                      <a:schemeClr val="tx1">
                        <a:lumMod val="65000"/>
                        <a:lumOff val="35000"/>
                      </a:schemeClr>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Calcs!$S$20</c:f>
              <c:numCache>
                <c:formatCode>General</c:formatCode>
                <c:ptCount val="1"/>
                <c:pt idx="0">
                  <c:v>2</c:v>
                </c:pt>
              </c:numCache>
            </c:numRef>
          </c:xVal>
          <c:yVal>
            <c:numRef>
              <c:f>Calcs!$T$20</c:f>
              <c:numCache>
                <c:formatCode>General</c:formatCode>
                <c:ptCount val="1"/>
                <c:pt idx="0">
                  <c:v>90</c:v>
                </c:pt>
              </c:numCache>
            </c:numRef>
          </c:yVal>
          <c:smooth val="1"/>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5E54-A843-9A9E-2A0B883C1805}"/>
            </c:ext>
          </c:extLst>
        </c:ser>
        <c:dLbls>
          <c:showLegendKey val="0"/>
          <c:showVal val="0"/>
          <c:showCatName val="0"/>
          <c:showSerName val="0"/>
          <c:showPercent val="0"/>
          <c:showBubbleSize val="0"/>
        </c:dLbls>
        <c:axId val="241103296"/>
        <c:axId val="580761936"/>
      </c:scatterChart>
      <c:valAx>
        <c:axId val="241103296"/>
        <c:scaling>
          <c:orientation val="minMax"/>
          <c:max val="1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UT (hr)</a:t>
                </a:r>
              </a:p>
            </c:rich>
          </c:tx>
          <c:overlay val="0"/>
          <c:spPr>
            <a:noFill/>
            <a:ln>
              <a:noFill/>
            </a:ln>
            <a:effectLst/>
          </c:sp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0761936"/>
        <c:crosses val="autoZero"/>
        <c:crossBetween val="midCat"/>
        <c:majorUnit val="1"/>
      </c:valAx>
      <c:valAx>
        <c:axId val="580761936"/>
        <c:scaling>
          <c:orientation val="minMax"/>
          <c:max val="9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Altitude (deg)</a:t>
                </a:r>
              </a:p>
            </c:rich>
          </c:tx>
          <c:overlay val="0"/>
          <c:spPr>
            <a:noFill/>
            <a:ln>
              <a:noFill/>
            </a:ln>
            <a:effectLst/>
          </c:spPr>
        </c:title>
        <c:numFmt formatCode="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1103296"/>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100000">
          <a:schemeClr val="accent5">
            <a:lumMod val="30000"/>
            <a:lumOff val="70000"/>
          </a:schemeClr>
        </a:gs>
      </a:gsLst>
      <a:lin ang="27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Objects</c:v>
          </c:tx>
          <c:spPr>
            <a:ln w="381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0-2434-6242-A820-380B807E72CE}"/>
                </c:ext>
              </c:extLst>
            </c:dLbl>
            <c:dLbl>
              <c:idx val="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2434-6242-A820-380B807E72CE}"/>
                </c:ext>
              </c:extLst>
            </c:dLbl>
            <c:dLbl>
              <c:idx val="2"/>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D8B013DC-97C0-F042-A886-1C48D074BB79}" type="CELLRANGE">
                      <a:rPr lang="en-US"/>
                      <a:pPr>
                        <a:defRPr sz="1000" b="1">
                          <a:solidFill>
                            <a:srgbClr val="FF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434-6242-A820-380B807E72CE}"/>
                </c:ext>
              </c:extLst>
            </c:dLbl>
            <c:dLbl>
              <c:idx val="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2434-6242-A820-380B807E72CE}"/>
                </c:ext>
              </c:extLst>
            </c:dLbl>
            <c:dLbl>
              <c:idx val="4"/>
              <c:tx>
                <c:rich>
                  <a:bodyPr/>
                  <a:lstStyle/>
                  <a:p>
                    <a:fld id="{0DD519E9-C06C-764B-A7F4-32F1E7913C1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434-6242-A820-380B807E72CE}"/>
                </c:ext>
              </c:extLst>
            </c:dLbl>
            <c:dLbl>
              <c:idx val="5"/>
              <c:tx>
                <c:rich>
                  <a:bodyPr/>
                  <a:lstStyle/>
                  <a:p>
                    <a:fld id="{4855CD78-4E66-724A-AE19-3BBF20FC9B4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434-6242-A820-380B807E72CE}"/>
                </c:ext>
              </c:extLst>
            </c:dLbl>
            <c:dLbl>
              <c:idx val="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2434-6242-A820-380B807E72CE}"/>
                </c:ext>
              </c:extLst>
            </c:dLbl>
            <c:dLbl>
              <c:idx val="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2434-6242-A820-380B807E72CE}"/>
                </c:ext>
              </c:extLst>
            </c:dLbl>
            <c:dLbl>
              <c:idx val="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2434-6242-A820-380B807E72CE}"/>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2434-6242-A820-380B807E72CE}"/>
                </c:ext>
              </c:extLst>
            </c:dLbl>
            <c:dLbl>
              <c:idx val="10"/>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E6D122BB-89B1-A642-9645-E83AF184C13A}" type="CELLRANGE">
                      <a:rPr lang="en-US"/>
                      <a:pPr>
                        <a:defRPr sz="1000" b="1">
                          <a:solidFill>
                            <a:srgbClr val="FF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434-6242-A820-380B807E72CE}"/>
                </c:ext>
              </c:extLst>
            </c:dLbl>
            <c:dLbl>
              <c:idx val="11"/>
              <c:tx>
                <c:rich>
                  <a:bodyPr/>
                  <a:lstStyle/>
                  <a:p>
                    <a:fld id="{FDEB67C6-0121-9848-B101-6DA418ACB45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434-6242-A820-380B807E72CE}"/>
                </c:ext>
              </c:extLst>
            </c:dLbl>
            <c:dLbl>
              <c:idx val="12"/>
              <c:tx>
                <c:rich>
                  <a:bodyPr/>
                  <a:lstStyle/>
                  <a:p>
                    <a:fld id="{C7AA8152-28AF-3148-9BBD-28F18828EAC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434-6242-A820-380B807E72CE}"/>
                </c:ext>
              </c:extLst>
            </c:dLbl>
            <c:dLbl>
              <c:idx val="13"/>
              <c:tx>
                <c:rich>
                  <a:bodyPr/>
                  <a:lstStyle/>
                  <a:p>
                    <a:fld id="{E76E4278-36CA-674A-ACC8-EB4EE0C1F73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434-6242-A820-380B807E72CE}"/>
                </c:ext>
              </c:extLst>
            </c:dLbl>
            <c:dLbl>
              <c:idx val="1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2434-6242-A820-380B807E72CE}"/>
                </c:ext>
              </c:extLst>
            </c:dLbl>
            <c:dLbl>
              <c:idx val="15"/>
              <c:tx>
                <c:rich>
                  <a:bodyPr/>
                  <a:lstStyle/>
                  <a:p>
                    <a:fld id="{5B0232D0-7385-4A44-9BE7-4623FD35805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434-6242-A820-380B807E72CE}"/>
                </c:ext>
              </c:extLst>
            </c:dLbl>
            <c:dLbl>
              <c:idx val="16"/>
              <c:tx>
                <c:rich>
                  <a:bodyPr/>
                  <a:lstStyle/>
                  <a:p>
                    <a:fld id="{6EC9B87C-6A8E-D74A-B4BE-9043EFBDAD3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434-6242-A820-380B807E72CE}"/>
                </c:ext>
              </c:extLst>
            </c:dLbl>
            <c:dLbl>
              <c:idx val="17"/>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56F12F71-54CF-EE41-A9F8-90615994C11C}" type="CELLRANGE">
                      <a:rPr lang="en-US"/>
                      <a:pPr>
                        <a:defRPr sz="1000" b="1">
                          <a:solidFill>
                            <a:srgbClr val="FF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434-6242-A820-380B807E72CE}"/>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2434-6242-A820-380B807E72CE}"/>
                </c:ext>
              </c:extLst>
            </c:dLbl>
            <c:dLbl>
              <c:idx val="1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2434-6242-A820-380B807E72CE}"/>
                </c:ext>
              </c:extLst>
            </c:dLbl>
            <c:dLbl>
              <c:idx val="2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2434-6242-A820-380B807E72C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PEPSI!$AS$4:$AS$24</c:f>
              <c:numCache>
                <c:formatCode>0.00</c:formatCode>
                <c:ptCount val="21"/>
                <c:pt idx="0">
                  <c:v>#N/A</c:v>
                </c:pt>
                <c:pt idx="1">
                  <c:v>#N/A</c:v>
                </c:pt>
                <c:pt idx="2">
                  <c:v>-0.4221880869557656</c:v>
                </c:pt>
                <c:pt idx="3">
                  <c:v>#N/A</c:v>
                </c:pt>
                <c:pt idx="4">
                  <c:v>4.0971320090333586E-2</c:v>
                </c:pt>
                <c:pt idx="5">
                  <c:v>8.6787501913958426E-2</c:v>
                </c:pt>
                <c:pt idx="6">
                  <c:v>#N/A</c:v>
                </c:pt>
                <c:pt idx="7">
                  <c:v>#N/A</c:v>
                </c:pt>
                <c:pt idx="8">
                  <c:v>#N/A</c:v>
                </c:pt>
                <c:pt idx="9">
                  <c:v>#N/A</c:v>
                </c:pt>
                <c:pt idx="10">
                  <c:v>0.72550659402210282</c:v>
                </c:pt>
                <c:pt idx="11">
                  <c:v>0.90371772301801956</c:v>
                </c:pt>
                <c:pt idx="12">
                  <c:v>0.82361466014624862</c:v>
                </c:pt>
                <c:pt idx="13">
                  <c:v>0.63013192866607748</c:v>
                </c:pt>
                <c:pt idx="14">
                  <c:v>#N/A</c:v>
                </c:pt>
                <c:pt idx="15">
                  <c:v>-0.54148552287779683</c:v>
                </c:pt>
                <c:pt idx="16">
                  <c:v>-0.30362499589411462</c:v>
                </c:pt>
                <c:pt idx="17">
                  <c:v>-0.1143798547370468</c:v>
                </c:pt>
                <c:pt idx="18">
                  <c:v>#N/A</c:v>
                </c:pt>
                <c:pt idx="19">
                  <c:v>#N/A</c:v>
                </c:pt>
                <c:pt idx="20">
                  <c:v>#N/A</c:v>
                </c:pt>
              </c:numCache>
            </c:numRef>
          </c:xVal>
          <c:yVal>
            <c:numRef>
              <c:f>PEPSI!$AT$4:$AT$24</c:f>
              <c:numCache>
                <c:formatCode>0.00</c:formatCode>
                <c:ptCount val="21"/>
                <c:pt idx="0">
                  <c:v>#N/A</c:v>
                </c:pt>
                <c:pt idx="1">
                  <c:v>#N/A</c:v>
                </c:pt>
                <c:pt idx="2">
                  <c:v>0.77679831894254525</c:v>
                </c:pt>
                <c:pt idx="3">
                  <c:v>#N/A</c:v>
                </c:pt>
                <c:pt idx="4">
                  <c:v>0.95662920292471887</c:v>
                </c:pt>
                <c:pt idx="5">
                  <c:v>0.94367741409846972</c:v>
                </c:pt>
                <c:pt idx="6">
                  <c:v>#N/A</c:v>
                </c:pt>
                <c:pt idx="7">
                  <c:v>#N/A</c:v>
                </c:pt>
                <c:pt idx="8">
                  <c:v>#N/A</c:v>
                </c:pt>
                <c:pt idx="9">
                  <c:v>#N/A</c:v>
                </c:pt>
                <c:pt idx="10">
                  <c:v>0.65315853510637423</c:v>
                </c:pt>
                <c:pt idx="11">
                  <c:v>-3.0787831792605934E-2</c:v>
                </c:pt>
                <c:pt idx="12">
                  <c:v>-0.19461056924722439</c:v>
                </c:pt>
                <c:pt idx="13">
                  <c:v>-0.51251550687480252</c:v>
                </c:pt>
                <c:pt idx="14">
                  <c:v>#N/A</c:v>
                </c:pt>
                <c:pt idx="15">
                  <c:v>0.71004857973894364</c:v>
                </c:pt>
                <c:pt idx="16">
                  <c:v>0.90206936296962636</c:v>
                </c:pt>
                <c:pt idx="17">
                  <c:v>0.93261314444147692</c:v>
                </c:pt>
                <c:pt idx="18">
                  <c:v>#N/A</c:v>
                </c:pt>
                <c:pt idx="19">
                  <c:v>#N/A</c:v>
                </c:pt>
                <c:pt idx="20">
                  <c:v>#N/A</c:v>
                </c:pt>
              </c:numCache>
            </c:numRef>
          </c:yVal>
          <c:smooth val="0"/>
          <c:extLst>
            <c:ext xmlns:c15="http://schemas.microsoft.com/office/drawing/2012/chart" uri="{02D57815-91ED-43cb-92C2-25804820EDAC}">
              <c15:datalabelsRange>
                <c15:f>PEPSI!$W$4:$W$24</c15:f>
                <c15:dlblRangeCache>
                  <c:ptCount val="21"/>
                  <c:pt idx="0">
                    <c:v>Moon</c:v>
                  </c:pt>
                  <c:pt idx="1">
                    <c:v>PETS-1518</c:v>
                  </c:pt>
                  <c:pt idx="2">
                    <c:v>PETS-1431</c:v>
                  </c:pt>
                  <c:pt idx="3">
                    <c:v>TIC3071</c:v>
                  </c:pt>
                  <c:pt idx="4">
                    <c:v>TIC5285</c:v>
                  </c:pt>
                  <c:pt idx="5">
                    <c:v>TIC3898</c:v>
                  </c:pt>
                  <c:pt idx="6">
                    <c:v>TIC2864</c:v>
                  </c:pt>
                  <c:pt idx="7">
                    <c:v>TIC3922</c:v>
                  </c:pt>
                  <c:pt idx="8">
                    <c:v>TIC2600</c:v>
                  </c:pt>
                  <c:pt idx="9">
                    <c:v>TIC4541</c:v>
                  </c:pt>
                  <c:pt idx="10">
                    <c:v>TIC3674</c:v>
                  </c:pt>
                  <c:pt idx="11">
                    <c:v>TIC3178</c:v>
                  </c:pt>
                  <c:pt idx="12">
                    <c:v>TIC7329</c:v>
                  </c:pt>
                  <c:pt idx="13">
                    <c:v>TIC4344</c:v>
                  </c:pt>
                  <c:pt idx="14">
                    <c:v>TIC8927</c:v>
                  </c:pt>
                  <c:pt idx="15">
                    <c:v>TIC2783</c:v>
                  </c:pt>
                  <c:pt idx="16">
                    <c:v>TIC4140</c:v>
                  </c:pt>
                  <c:pt idx="17">
                    <c:v>TIC4707</c:v>
                  </c:pt>
                </c15:dlblRangeCache>
              </c15:datalabelsRange>
            </c:ext>
            <c:ext xmlns:c16="http://schemas.microsoft.com/office/drawing/2014/chart" uri="{C3380CC4-5D6E-409C-BE32-E72D297353CC}">
              <c16:uniqueId val="{00000015-2434-6242-A820-380B807E72CE}"/>
            </c:ext>
          </c:extLst>
        </c:ser>
        <c:ser>
          <c:idx val="2"/>
          <c:order val="1"/>
          <c:tx>
            <c:v>zenith</c:v>
          </c:tx>
          <c:spPr>
            <a:ln w="25400" cap="rnd">
              <a:noFill/>
              <a:round/>
            </a:ln>
            <a:effectLst/>
          </c:spPr>
          <c:marker>
            <c:symbol val="plus"/>
            <c:size val="7"/>
            <c:spPr>
              <a:noFill/>
              <a:ln w="15875">
                <a:solidFill>
                  <a:srgbClr val="FF0000"/>
                </a:solidFill>
              </a:ln>
              <a:effectLst/>
            </c:spPr>
          </c:marker>
          <c:xVal>
            <c:numRef>
              <c:f>Calcs!$S$53</c:f>
              <c:numCache>
                <c:formatCode>0.00</c:formatCode>
                <c:ptCount val="1"/>
                <c:pt idx="0">
                  <c:v>0</c:v>
                </c:pt>
              </c:numCache>
            </c:numRef>
          </c:xVal>
          <c:yVal>
            <c:numRef>
              <c:f>Calcs!$T$53</c:f>
              <c:numCache>
                <c:formatCode>General</c:formatCode>
                <c:ptCount val="1"/>
                <c:pt idx="0">
                  <c:v>0</c:v>
                </c:pt>
              </c:numCache>
            </c:numRef>
          </c:yVal>
          <c:smooth val="0"/>
          <c:extLst>
            <c:ext xmlns:c16="http://schemas.microsoft.com/office/drawing/2014/chart" uri="{C3380CC4-5D6E-409C-BE32-E72D297353CC}">
              <c16:uniqueId val="{00000016-2434-6242-A820-380B807E72CE}"/>
            </c:ext>
          </c:extLst>
        </c:ser>
        <c:ser>
          <c:idx val="1"/>
          <c:order val="2"/>
          <c:tx>
            <c:v>Az 0</c:v>
          </c:tx>
          <c:spPr>
            <a:ln w="25400" cap="rnd">
              <a:noFill/>
              <a:round/>
            </a:ln>
            <a:effectLst/>
          </c:spPr>
          <c:marker>
            <c:symbol val="x"/>
            <c:size val="5"/>
            <c:spPr>
              <a:noFill/>
              <a:ln w="9525">
                <a:solidFill>
                  <a:srgbClr val="FF0000"/>
                </a:solidFill>
              </a:ln>
              <a:effectLst/>
            </c:spPr>
          </c:marker>
          <c:xVal>
            <c:numRef>
              <c:f>Calcs!$S$55:$S$59</c:f>
              <c:numCache>
                <c:formatCode>0.00</c:formatCode>
                <c:ptCount val="5"/>
                <c:pt idx="0">
                  <c:v>0</c:v>
                </c:pt>
                <c:pt idx="1">
                  <c:v>0</c:v>
                </c:pt>
                <c:pt idx="2">
                  <c:v>0</c:v>
                </c:pt>
                <c:pt idx="3">
                  <c:v>0</c:v>
                </c:pt>
                <c:pt idx="4">
                  <c:v>0</c:v>
                </c:pt>
              </c:numCache>
            </c:numRef>
          </c:xVal>
          <c:yVal>
            <c:numRef>
              <c:f>Calcs!$S$63:$S$67</c:f>
              <c:numCache>
                <c:formatCode>0.00</c:formatCode>
                <c:ptCount val="5"/>
                <c:pt idx="0">
                  <c:v>1</c:v>
                </c:pt>
                <c:pt idx="1">
                  <c:v>0.77777777777777779</c:v>
                </c:pt>
                <c:pt idx="2">
                  <c:v>0.55555555555555558</c:v>
                </c:pt>
                <c:pt idx="3">
                  <c:v>0.33333333333333331</c:v>
                </c:pt>
                <c:pt idx="4">
                  <c:v>0.1111111111111111</c:v>
                </c:pt>
              </c:numCache>
            </c:numRef>
          </c:yVal>
          <c:smooth val="0"/>
          <c:extLst>
            <c:ext xmlns:c16="http://schemas.microsoft.com/office/drawing/2014/chart" uri="{C3380CC4-5D6E-409C-BE32-E72D297353CC}">
              <c16:uniqueId val="{00000017-2434-6242-A820-380B807E72CE}"/>
            </c:ext>
          </c:extLst>
        </c:ser>
        <c:ser>
          <c:idx val="3"/>
          <c:order val="3"/>
          <c:tx>
            <c:v>AZ 30</c:v>
          </c:tx>
          <c:spPr>
            <a:ln w="25400" cap="rnd">
              <a:noFill/>
              <a:round/>
            </a:ln>
            <a:effectLst/>
          </c:spPr>
          <c:marker>
            <c:symbol val="x"/>
            <c:size val="5"/>
            <c:spPr>
              <a:noFill/>
              <a:ln w="9525">
                <a:solidFill>
                  <a:srgbClr val="FF0000"/>
                </a:solidFill>
              </a:ln>
              <a:effectLst/>
            </c:spPr>
          </c:marker>
          <c:xVal>
            <c:numRef>
              <c:f>Calcs!$T$55:$T$59</c:f>
              <c:numCache>
                <c:formatCode>0.00</c:formatCode>
                <c:ptCount val="5"/>
                <c:pt idx="0">
                  <c:v>0.49999999999999994</c:v>
                </c:pt>
                <c:pt idx="1">
                  <c:v>0.38888888888888884</c:v>
                </c:pt>
                <c:pt idx="2">
                  <c:v>0.27777777777777773</c:v>
                </c:pt>
                <c:pt idx="3">
                  <c:v>0.16666666666666663</c:v>
                </c:pt>
                <c:pt idx="4">
                  <c:v>5.5555555555555546E-2</c:v>
                </c:pt>
              </c:numCache>
            </c:numRef>
          </c:xVal>
          <c:yVal>
            <c:numRef>
              <c:f>Calcs!$T$63:$T$67</c:f>
              <c:numCache>
                <c:formatCode>0.00</c:formatCode>
                <c:ptCount val="5"/>
                <c:pt idx="0">
                  <c:v>0.86602540378443871</c:v>
                </c:pt>
                <c:pt idx="1">
                  <c:v>0.6735753140545635</c:v>
                </c:pt>
                <c:pt idx="2">
                  <c:v>0.48112522432468818</c:v>
                </c:pt>
                <c:pt idx="3">
                  <c:v>0.28867513459481287</c:v>
                </c:pt>
                <c:pt idx="4">
                  <c:v>9.6225044864937631E-2</c:v>
                </c:pt>
              </c:numCache>
            </c:numRef>
          </c:yVal>
          <c:smooth val="0"/>
          <c:extLst>
            <c:ext xmlns:c16="http://schemas.microsoft.com/office/drawing/2014/chart" uri="{C3380CC4-5D6E-409C-BE32-E72D297353CC}">
              <c16:uniqueId val="{00000018-2434-6242-A820-380B807E72CE}"/>
            </c:ext>
          </c:extLst>
        </c:ser>
        <c:ser>
          <c:idx val="4"/>
          <c:order val="4"/>
          <c:tx>
            <c:v>AZ 60</c:v>
          </c:tx>
          <c:spPr>
            <a:ln w="25400" cap="rnd">
              <a:noFill/>
              <a:round/>
            </a:ln>
            <a:effectLst/>
          </c:spPr>
          <c:marker>
            <c:symbol val="x"/>
            <c:size val="5"/>
            <c:spPr>
              <a:noFill/>
              <a:ln w="9525">
                <a:solidFill>
                  <a:srgbClr val="FF0000"/>
                </a:solidFill>
              </a:ln>
              <a:effectLst/>
            </c:spPr>
          </c:marker>
          <c:xVal>
            <c:numRef>
              <c:f>Calcs!$U$55:$U$59</c:f>
              <c:numCache>
                <c:formatCode>0.00</c:formatCode>
                <c:ptCount val="5"/>
                <c:pt idx="0">
                  <c:v>0.8660254037844386</c:v>
                </c:pt>
                <c:pt idx="1">
                  <c:v>0.67357531405456339</c:v>
                </c:pt>
                <c:pt idx="2">
                  <c:v>0.48112522432468813</c:v>
                </c:pt>
                <c:pt idx="3">
                  <c:v>0.28867513459481287</c:v>
                </c:pt>
                <c:pt idx="4">
                  <c:v>9.6225044864937617E-2</c:v>
                </c:pt>
              </c:numCache>
            </c:numRef>
          </c:xVal>
          <c:yVal>
            <c:numRef>
              <c:f>Calcs!$U$63:$U$67</c:f>
              <c:numCache>
                <c:formatCode>0.00</c:formatCode>
                <c:ptCount val="5"/>
                <c:pt idx="0">
                  <c:v>0.50000000000000011</c:v>
                </c:pt>
                <c:pt idx="1">
                  <c:v>0.38888888888888901</c:v>
                </c:pt>
                <c:pt idx="2">
                  <c:v>0.27777777777777785</c:v>
                </c:pt>
                <c:pt idx="3">
                  <c:v>0.16666666666666669</c:v>
                </c:pt>
                <c:pt idx="4">
                  <c:v>5.5555555555555566E-2</c:v>
                </c:pt>
              </c:numCache>
            </c:numRef>
          </c:yVal>
          <c:smooth val="0"/>
          <c:extLst>
            <c:ext xmlns:c16="http://schemas.microsoft.com/office/drawing/2014/chart" uri="{C3380CC4-5D6E-409C-BE32-E72D297353CC}">
              <c16:uniqueId val="{00000019-2434-6242-A820-380B807E72CE}"/>
            </c:ext>
          </c:extLst>
        </c:ser>
        <c:ser>
          <c:idx val="5"/>
          <c:order val="5"/>
          <c:tx>
            <c:v>AZ 90</c:v>
          </c:tx>
          <c:spPr>
            <a:ln w="25400" cap="rnd">
              <a:noFill/>
              <a:round/>
            </a:ln>
            <a:effectLst/>
          </c:spPr>
          <c:marker>
            <c:symbol val="x"/>
            <c:size val="5"/>
            <c:spPr>
              <a:noFill/>
              <a:ln w="9525">
                <a:solidFill>
                  <a:srgbClr val="FF0000"/>
                </a:solidFill>
              </a:ln>
              <a:effectLst/>
            </c:spPr>
          </c:marker>
          <c:xVal>
            <c:numRef>
              <c:f>Calcs!$V$55:$V$59</c:f>
              <c:numCache>
                <c:formatCode>0.00</c:formatCode>
                <c:ptCount val="5"/>
                <c:pt idx="0">
                  <c:v>1</c:v>
                </c:pt>
                <c:pt idx="1">
                  <c:v>0.77777777777777779</c:v>
                </c:pt>
                <c:pt idx="2">
                  <c:v>0.55555555555555558</c:v>
                </c:pt>
                <c:pt idx="3">
                  <c:v>0.33333333333333331</c:v>
                </c:pt>
                <c:pt idx="4">
                  <c:v>0.1111111111111111</c:v>
                </c:pt>
              </c:numCache>
            </c:numRef>
          </c:xVal>
          <c:yVal>
            <c:numRef>
              <c:f>Calcs!$V$63:$V$67</c:f>
              <c:numCache>
                <c:formatCode>0.00</c:formatCode>
                <c:ptCount val="5"/>
                <c:pt idx="0">
                  <c:v>6.1257422745431001E-17</c:v>
                </c:pt>
                <c:pt idx="1">
                  <c:v>4.7644662135335224E-17</c:v>
                </c:pt>
                <c:pt idx="2">
                  <c:v>3.4031901525239447E-17</c:v>
                </c:pt>
                <c:pt idx="3">
                  <c:v>2.0419140915143665E-17</c:v>
                </c:pt>
                <c:pt idx="4">
                  <c:v>6.8063803050478883E-18</c:v>
                </c:pt>
              </c:numCache>
            </c:numRef>
          </c:yVal>
          <c:smooth val="0"/>
          <c:extLst>
            <c:ext xmlns:c16="http://schemas.microsoft.com/office/drawing/2014/chart" uri="{C3380CC4-5D6E-409C-BE32-E72D297353CC}">
              <c16:uniqueId val="{0000001A-2434-6242-A820-380B807E72CE}"/>
            </c:ext>
          </c:extLst>
        </c:ser>
        <c:ser>
          <c:idx val="6"/>
          <c:order val="6"/>
          <c:tx>
            <c:v>AZ 120</c:v>
          </c:tx>
          <c:spPr>
            <a:ln w="25400" cap="rnd">
              <a:noFill/>
              <a:round/>
            </a:ln>
            <a:effectLst/>
          </c:spPr>
          <c:marker>
            <c:symbol val="x"/>
            <c:size val="5"/>
            <c:spPr>
              <a:noFill/>
              <a:ln w="9525">
                <a:solidFill>
                  <a:srgbClr val="FF0000"/>
                </a:solidFill>
              </a:ln>
              <a:effectLst/>
            </c:spPr>
          </c:marker>
          <c:xVal>
            <c:numRef>
              <c:f>Calcs!$W$55:$W$59</c:f>
              <c:numCache>
                <c:formatCode>0.00</c:formatCode>
                <c:ptCount val="5"/>
                <c:pt idx="0">
                  <c:v>0.86602540378443871</c:v>
                </c:pt>
                <c:pt idx="1">
                  <c:v>0.6735753140545635</c:v>
                </c:pt>
                <c:pt idx="2">
                  <c:v>0.48112522432468818</c:v>
                </c:pt>
                <c:pt idx="3">
                  <c:v>0.28867513459481287</c:v>
                </c:pt>
                <c:pt idx="4">
                  <c:v>9.6225044864937631E-2</c:v>
                </c:pt>
              </c:numCache>
            </c:numRef>
          </c:xVal>
          <c:yVal>
            <c:numRef>
              <c:f>Calcs!$W$63:$W$67</c:f>
              <c:numCache>
                <c:formatCode>0.00</c:formatCode>
                <c:ptCount val="5"/>
                <c:pt idx="0">
                  <c:v>-0.49999999999999978</c:v>
                </c:pt>
                <c:pt idx="1">
                  <c:v>-0.38888888888888873</c:v>
                </c:pt>
                <c:pt idx="2">
                  <c:v>-0.27777777777777768</c:v>
                </c:pt>
                <c:pt idx="3">
                  <c:v>-0.16666666666666657</c:v>
                </c:pt>
                <c:pt idx="4">
                  <c:v>-5.5555555555555525E-2</c:v>
                </c:pt>
              </c:numCache>
            </c:numRef>
          </c:yVal>
          <c:smooth val="0"/>
          <c:extLst>
            <c:ext xmlns:c16="http://schemas.microsoft.com/office/drawing/2014/chart" uri="{C3380CC4-5D6E-409C-BE32-E72D297353CC}">
              <c16:uniqueId val="{0000001B-2434-6242-A820-380B807E72CE}"/>
            </c:ext>
          </c:extLst>
        </c:ser>
        <c:ser>
          <c:idx val="7"/>
          <c:order val="7"/>
          <c:tx>
            <c:v>AZ 150</c:v>
          </c:tx>
          <c:spPr>
            <a:ln w="25400" cap="rnd">
              <a:noFill/>
              <a:round/>
            </a:ln>
            <a:effectLst/>
          </c:spPr>
          <c:marker>
            <c:symbol val="x"/>
            <c:size val="5"/>
            <c:spPr>
              <a:noFill/>
              <a:ln w="9525">
                <a:solidFill>
                  <a:srgbClr val="FF0000"/>
                </a:solidFill>
              </a:ln>
              <a:effectLst/>
            </c:spPr>
          </c:marker>
          <c:xVal>
            <c:numRef>
              <c:f>Calcs!$X$55:$X$59</c:f>
              <c:numCache>
                <c:formatCode>0.00</c:formatCode>
                <c:ptCount val="5"/>
                <c:pt idx="0">
                  <c:v>0.49999999999999994</c:v>
                </c:pt>
                <c:pt idx="1">
                  <c:v>0.38888888888888884</c:v>
                </c:pt>
                <c:pt idx="2">
                  <c:v>0.27777777777777773</c:v>
                </c:pt>
                <c:pt idx="3">
                  <c:v>0.16666666666666663</c:v>
                </c:pt>
                <c:pt idx="4">
                  <c:v>5.5555555555555546E-2</c:v>
                </c:pt>
              </c:numCache>
            </c:numRef>
          </c:xVal>
          <c:yVal>
            <c:numRef>
              <c:f>Calcs!$X$63:$X$67</c:f>
              <c:numCache>
                <c:formatCode>0.00</c:formatCode>
                <c:ptCount val="5"/>
                <c:pt idx="0">
                  <c:v>-0.86602540378443871</c:v>
                </c:pt>
                <c:pt idx="1">
                  <c:v>-0.6735753140545635</c:v>
                </c:pt>
                <c:pt idx="2">
                  <c:v>-0.48112522432468818</c:v>
                </c:pt>
                <c:pt idx="3">
                  <c:v>-0.28867513459481287</c:v>
                </c:pt>
                <c:pt idx="4">
                  <c:v>-9.6225044864937631E-2</c:v>
                </c:pt>
              </c:numCache>
            </c:numRef>
          </c:yVal>
          <c:smooth val="0"/>
          <c:extLst>
            <c:ext xmlns:c16="http://schemas.microsoft.com/office/drawing/2014/chart" uri="{C3380CC4-5D6E-409C-BE32-E72D297353CC}">
              <c16:uniqueId val="{0000001C-2434-6242-A820-380B807E72CE}"/>
            </c:ext>
          </c:extLst>
        </c:ser>
        <c:ser>
          <c:idx val="8"/>
          <c:order val="8"/>
          <c:tx>
            <c:v>AZ 180</c:v>
          </c:tx>
          <c:spPr>
            <a:ln w="25400" cap="rnd">
              <a:noFill/>
              <a:round/>
            </a:ln>
            <a:effectLst/>
          </c:spPr>
          <c:marker>
            <c:symbol val="x"/>
            <c:size val="5"/>
            <c:spPr>
              <a:noFill/>
              <a:ln w="9525">
                <a:solidFill>
                  <a:srgbClr val="FF0000"/>
                </a:solidFill>
              </a:ln>
              <a:effectLst/>
            </c:spPr>
          </c:marker>
          <c:xVal>
            <c:numRef>
              <c:f>Calcs!$Y$55:$Y$59</c:f>
              <c:numCache>
                <c:formatCode>0.00</c:formatCode>
                <c:ptCount val="5"/>
                <c:pt idx="0">
                  <c:v>1.22514845490862E-16</c:v>
                </c:pt>
                <c:pt idx="1">
                  <c:v>9.5289324270670448E-17</c:v>
                </c:pt>
                <c:pt idx="2">
                  <c:v>6.8063803050478895E-17</c:v>
                </c:pt>
                <c:pt idx="3">
                  <c:v>4.083828183028733E-17</c:v>
                </c:pt>
                <c:pt idx="4">
                  <c:v>1.3612760610095777E-17</c:v>
                </c:pt>
              </c:numCache>
            </c:numRef>
          </c:xVal>
          <c:yVal>
            <c:numRef>
              <c:f>Calcs!$Y$63:$Y$67</c:f>
              <c:numCache>
                <c:formatCode>0.00</c:formatCode>
                <c:ptCount val="5"/>
                <c:pt idx="0">
                  <c:v>-1</c:v>
                </c:pt>
                <c:pt idx="1">
                  <c:v>-0.77777777777777779</c:v>
                </c:pt>
                <c:pt idx="2">
                  <c:v>-0.55555555555555558</c:v>
                </c:pt>
                <c:pt idx="3">
                  <c:v>-0.33333333333333331</c:v>
                </c:pt>
                <c:pt idx="4">
                  <c:v>-0.1111111111111111</c:v>
                </c:pt>
              </c:numCache>
            </c:numRef>
          </c:yVal>
          <c:smooth val="0"/>
          <c:extLst>
            <c:ext xmlns:c16="http://schemas.microsoft.com/office/drawing/2014/chart" uri="{C3380CC4-5D6E-409C-BE32-E72D297353CC}">
              <c16:uniqueId val="{0000001D-2434-6242-A820-380B807E72CE}"/>
            </c:ext>
          </c:extLst>
        </c:ser>
        <c:ser>
          <c:idx val="9"/>
          <c:order val="9"/>
          <c:tx>
            <c:v>AZ 210</c:v>
          </c:tx>
          <c:spPr>
            <a:ln w="25400" cap="rnd">
              <a:noFill/>
              <a:round/>
            </a:ln>
            <a:effectLst/>
          </c:spPr>
          <c:marker>
            <c:symbol val="x"/>
            <c:size val="5"/>
            <c:spPr>
              <a:noFill/>
              <a:ln w="9525">
                <a:solidFill>
                  <a:srgbClr val="FF0000"/>
                </a:solidFill>
              </a:ln>
              <a:effectLst/>
            </c:spPr>
          </c:marker>
          <c:xVal>
            <c:numRef>
              <c:f>Calcs!$Z$55:$Z$59</c:f>
              <c:numCache>
                <c:formatCode>0.00</c:formatCode>
                <c:ptCount val="5"/>
                <c:pt idx="0">
                  <c:v>-0.50000000000000011</c:v>
                </c:pt>
                <c:pt idx="1">
                  <c:v>-0.38888888888888901</c:v>
                </c:pt>
                <c:pt idx="2">
                  <c:v>-0.27777777777777785</c:v>
                </c:pt>
                <c:pt idx="3">
                  <c:v>-0.16666666666666669</c:v>
                </c:pt>
                <c:pt idx="4">
                  <c:v>-5.5555555555555566E-2</c:v>
                </c:pt>
              </c:numCache>
            </c:numRef>
          </c:xVal>
          <c:yVal>
            <c:numRef>
              <c:f>Calcs!$Z$63:$Z$67</c:f>
              <c:numCache>
                <c:formatCode>0.00</c:formatCode>
                <c:ptCount val="5"/>
                <c:pt idx="0">
                  <c:v>-0.8660254037844386</c:v>
                </c:pt>
                <c:pt idx="1">
                  <c:v>-0.67357531405456339</c:v>
                </c:pt>
                <c:pt idx="2">
                  <c:v>-0.48112522432468813</c:v>
                </c:pt>
                <c:pt idx="3">
                  <c:v>-0.28867513459481287</c:v>
                </c:pt>
                <c:pt idx="4">
                  <c:v>-9.6225044864937617E-2</c:v>
                </c:pt>
              </c:numCache>
            </c:numRef>
          </c:yVal>
          <c:smooth val="0"/>
          <c:extLst>
            <c:ext xmlns:c16="http://schemas.microsoft.com/office/drawing/2014/chart" uri="{C3380CC4-5D6E-409C-BE32-E72D297353CC}">
              <c16:uniqueId val="{0000001E-2434-6242-A820-380B807E72CE}"/>
            </c:ext>
          </c:extLst>
        </c:ser>
        <c:ser>
          <c:idx val="10"/>
          <c:order val="10"/>
          <c:tx>
            <c:v>AZ 240</c:v>
          </c:tx>
          <c:spPr>
            <a:ln w="25400" cap="rnd">
              <a:noFill/>
              <a:round/>
            </a:ln>
            <a:effectLst/>
          </c:spPr>
          <c:marker>
            <c:symbol val="x"/>
            <c:size val="5"/>
            <c:spPr>
              <a:noFill/>
              <a:ln w="9525">
                <a:solidFill>
                  <a:srgbClr val="FF0000"/>
                </a:solidFill>
              </a:ln>
              <a:effectLst/>
            </c:spPr>
          </c:marker>
          <c:xVal>
            <c:numRef>
              <c:f>Calcs!$AA$55:$AA$59</c:f>
              <c:numCache>
                <c:formatCode>0.00</c:formatCode>
                <c:ptCount val="5"/>
                <c:pt idx="0">
                  <c:v>-0.86602540378443837</c:v>
                </c:pt>
                <c:pt idx="1">
                  <c:v>-0.67357531405456317</c:v>
                </c:pt>
                <c:pt idx="2">
                  <c:v>-0.48112522432468802</c:v>
                </c:pt>
                <c:pt idx="3">
                  <c:v>-0.28867513459481275</c:v>
                </c:pt>
                <c:pt idx="4">
                  <c:v>-9.6225044864937589E-2</c:v>
                </c:pt>
              </c:numCache>
            </c:numRef>
          </c:xVal>
          <c:yVal>
            <c:numRef>
              <c:f>Calcs!$AA$63:$AA$67</c:f>
              <c:numCache>
                <c:formatCode>0.00</c:formatCode>
                <c:ptCount val="5"/>
                <c:pt idx="0">
                  <c:v>-0.50000000000000044</c:v>
                </c:pt>
                <c:pt idx="1">
                  <c:v>-0.38888888888888923</c:v>
                </c:pt>
                <c:pt idx="2">
                  <c:v>-0.27777777777777801</c:v>
                </c:pt>
                <c:pt idx="3">
                  <c:v>-0.1666666666666668</c:v>
                </c:pt>
                <c:pt idx="4">
                  <c:v>-5.5555555555555601E-2</c:v>
                </c:pt>
              </c:numCache>
            </c:numRef>
          </c:yVal>
          <c:smooth val="0"/>
          <c:extLst>
            <c:ext xmlns:c16="http://schemas.microsoft.com/office/drawing/2014/chart" uri="{C3380CC4-5D6E-409C-BE32-E72D297353CC}">
              <c16:uniqueId val="{0000001F-2434-6242-A820-380B807E72CE}"/>
            </c:ext>
          </c:extLst>
        </c:ser>
        <c:ser>
          <c:idx val="11"/>
          <c:order val="11"/>
          <c:tx>
            <c:v>AZ 270</c:v>
          </c:tx>
          <c:spPr>
            <a:ln w="25400" cap="rnd">
              <a:noFill/>
              <a:round/>
            </a:ln>
            <a:effectLst/>
          </c:spPr>
          <c:marker>
            <c:symbol val="x"/>
            <c:size val="5"/>
            <c:spPr>
              <a:noFill/>
              <a:ln w="9525">
                <a:solidFill>
                  <a:srgbClr val="FF0000"/>
                </a:solidFill>
              </a:ln>
              <a:effectLst/>
            </c:spPr>
          </c:marker>
          <c:xVal>
            <c:numRef>
              <c:f>Calcs!$AB$55:$AB$59</c:f>
              <c:numCache>
                <c:formatCode>0.00</c:formatCode>
                <c:ptCount val="5"/>
                <c:pt idx="0">
                  <c:v>-1</c:v>
                </c:pt>
                <c:pt idx="1">
                  <c:v>-0.77777777777777779</c:v>
                </c:pt>
                <c:pt idx="2">
                  <c:v>-0.55555555555555558</c:v>
                </c:pt>
                <c:pt idx="3">
                  <c:v>-0.33333333333333331</c:v>
                </c:pt>
                <c:pt idx="4">
                  <c:v>-0.1111111111111111</c:v>
                </c:pt>
              </c:numCache>
            </c:numRef>
          </c:xVal>
          <c:yVal>
            <c:numRef>
              <c:f>Calcs!$AB$63:$AB$67</c:f>
              <c:numCache>
                <c:formatCode>0.00</c:formatCode>
                <c:ptCount val="5"/>
                <c:pt idx="0">
                  <c:v>-1.83772268236293E-16</c:v>
                </c:pt>
                <c:pt idx="1">
                  <c:v>-1.4293398640600566E-16</c:v>
                </c:pt>
                <c:pt idx="2">
                  <c:v>-1.0209570457571834E-16</c:v>
                </c:pt>
                <c:pt idx="3">
                  <c:v>-6.1257422745431001E-17</c:v>
                </c:pt>
                <c:pt idx="4">
                  <c:v>-2.0419140915143665E-17</c:v>
                </c:pt>
              </c:numCache>
            </c:numRef>
          </c:yVal>
          <c:smooth val="0"/>
          <c:extLst>
            <c:ext xmlns:c16="http://schemas.microsoft.com/office/drawing/2014/chart" uri="{C3380CC4-5D6E-409C-BE32-E72D297353CC}">
              <c16:uniqueId val="{00000020-2434-6242-A820-380B807E72CE}"/>
            </c:ext>
          </c:extLst>
        </c:ser>
        <c:ser>
          <c:idx val="12"/>
          <c:order val="12"/>
          <c:tx>
            <c:v>AZ 300</c:v>
          </c:tx>
          <c:spPr>
            <a:ln w="25400" cap="rnd">
              <a:noFill/>
              <a:round/>
            </a:ln>
            <a:effectLst/>
          </c:spPr>
          <c:marker>
            <c:symbol val="x"/>
            <c:size val="5"/>
            <c:spPr>
              <a:noFill/>
              <a:ln w="9525">
                <a:solidFill>
                  <a:srgbClr val="FF0000"/>
                </a:solidFill>
              </a:ln>
              <a:effectLst/>
            </c:spPr>
          </c:marker>
          <c:xVal>
            <c:numRef>
              <c:f>Calcs!$AC$55:$AC$59</c:f>
              <c:numCache>
                <c:formatCode>0.00</c:formatCode>
                <c:ptCount val="5"/>
                <c:pt idx="0">
                  <c:v>-0.8660254037844386</c:v>
                </c:pt>
                <c:pt idx="1">
                  <c:v>-0.67357531405456339</c:v>
                </c:pt>
                <c:pt idx="2">
                  <c:v>-0.48112522432468813</c:v>
                </c:pt>
                <c:pt idx="3">
                  <c:v>-0.28867513459481287</c:v>
                </c:pt>
                <c:pt idx="4">
                  <c:v>-9.6225044864937617E-2</c:v>
                </c:pt>
              </c:numCache>
            </c:numRef>
          </c:xVal>
          <c:yVal>
            <c:numRef>
              <c:f>Calcs!$AC$63:$AC$67</c:f>
              <c:numCache>
                <c:formatCode>0.00</c:formatCode>
                <c:ptCount val="5"/>
                <c:pt idx="0">
                  <c:v>0.50000000000000011</c:v>
                </c:pt>
                <c:pt idx="1">
                  <c:v>0.38888888888888901</c:v>
                </c:pt>
                <c:pt idx="2">
                  <c:v>0.27777777777777785</c:v>
                </c:pt>
                <c:pt idx="3">
                  <c:v>0.16666666666666669</c:v>
                </c:pt>
                <c:pt idx="4">
                  <c:v>5.5555555555555566E-2</c:v>
                </c:pt>
              </c:numCache>
            </c:numRef>
          </c:yVal>
          <c:smooth val="0"/>
          <c:extLst>
            <c:ext xmlns:c16="http://schemas.microsoft.com/office/drawing/2014/chart" uri="{C3380CC4-5D6E-409C-BE32-E72D297353CC}">
              <c16:uniqueId val="{00000021-2434-6242-A820-380B807E72CE}"/>
            </c:ext>
          </c:extLst>
        </c:ser>
        <c:ser>
          <c:idx val="13"/>
          <c:order val="13"/>
          <c:tx>
            <c:v>AZ 330</c:v>
          </c:tx>
          <c:spPr>
            <a:ln w="25400" cap="rnd">
              <a:noFill/>
              <a:round/>
            </a:ln>
            <a:effectLst/>
          </c:spPr>
          <c:marker>
            <c:symbol val="x"/>
            <c:size val="5"/>
            <c:spPr>
              <a:noFill/>
              <a:ln w="9525">
                <a:solidFill>
                  <a:srgbClr val="FF0000"/>
                </a:solidFill>
              </a:ln>
              <a:effectLst/>
            </c:spPr>
          </c:marker>
          <c:xVal>
            <c:numRef>
              <c:f>Calcs!$AD$55:$AD$59</c:f>
              <c:numCache>
                <c:formatCode>0.00</c:formatCode>
                <c:ptCount val="5"/>
                <c:pt idx="0">
                  <c:v>-0.50000000000000044</c:v>
                </c:pt>
                <c:pt idx="1">
                  <c:v>-0.38888888888888923</c:v>
                </c:pt>
                <c:pt idx="2">
                  <c:v>-0.27777777777777801</c:v>
                </c:pt>
                <c:pt idx="3">
                  <c:v>-0.1666666666666668</c:v>
                </c:pt>
                <c:pt idx="4">
                  <c:v>-5.5555555555555601E-2</c:v>
                </c:pt>
              </c:numCache>
            </c:numRef>
          </c:xVal>
          <c:yVal>
            <c:numRef>
              <c:f>Calcs!$AD$63:$AD$67</c:f>
              <c:numCache>
                <c:formatCode>0.00</c:formatCode>
                <c:ptCount val="5"/>
                <c:pt idx="0">
                  <c:v>0.86602540378443837</c:v>
                </c:pt>
                <c:pt idx="1">
                  <c:v>0.67357531405456317</c:v>
                </c:pt>
                <c:pt idx="2">
                  <c:v>0.48112522432468802</c:v>
                </c:pt>
                <c:pt idx="3">
                  <c:v>0.28867513459481275</c:v>
                </c:pt>
                <c:pt idx="4">
                  <c:v>9.6225044864937589E-2</c:v>
                </c:pt>
              </c:numCache>
            </c:numRef>
          </c:yVal>
          <c:smooth val="0"/>
          <c:extLst>
            <c:ext xmlns:c16="http://schemas.microsoft.com/office/drawing/2014/chart" uri="{C3380CC4-5D6E-409C-BE32-E72D297353CC}">
              <c16:uniqueId val="{00000022-2434-6242-A820-380B807E72CE}"/>
            </c:ext>
          </c:extLst>
        </c:ser>
        <c:ser>
          <c:idx val="14"/>
          <c:order val="14"/>
          <c:tx>
            <c:v>Cardinal Directions</c:v>
          </c:tx>
          <c:spPr>
            <a:ln w="25400" cap="rnd">
              <a:noFill/>
              <a:round/>
            </a:ln>
            <a:effectLst/>
          </c:spPr>
          <c:marker>
            <c:symbol val="none"/>
          </c:marker>
          <c:dLbls>
            <c:dLbl>
              <c:idx val="0"/>
              <c:tx>
                <c:rich>
                  <a:bodyPr/>
                  <a:lstStyle/>
                  <a:p>
                    <a:fld id="{3E992CA4-9F8D-FD46-BF76-737275B1A04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2434-6242-A820-380B807E72CE}"/>
                </c:ext>
              </c:extLst>
            </c:dLbl>
            <c:dLbl>
              <c:idx val="1"/>
              <c:tx>
                <c:rich>
                  <a:bodyPr/>
                  <a:lstStyle/>
                  <a:p>
                    <a:fld id="{FF543CBE-DDD4-E745-A454-EF70E908D97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2434-6242-A820-380B807E72CE}"/>
                </c:ext>
              </c:extLst>
            </c:dLbl>
            <c:dLbl>
              <c:idx val="2"/>
              <c:tx>
                <c:rich>
                  <a:bodyPr/>
                  <a:lstStyle/>
                  <a:p>
                    <a:fld id="{40275060-F658-EA4A-8ABC-E18D80B11DE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2434-6242-A820-380B807E72CE}"/>
                </c:ext>
              </c:extLst>
            </c:dLbl>
            <c:dLbl>
              <c:idx val="3"/>
              <c:tx>
                <c:rich>
                  <a:bodyPr/>
                  <a:lstStyle/>
                  <a:p>
                    <a:fld id="{7B29D000-484B-944D-BBCE-F0DB5AEB935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2434-6242-A820-380B807E72CE}"/>
                </c:ext>
              </c:extLst>
            </c:dLbl>
            <c:dLbl>
              <c:idx val="4"/>
              <c:tx>
                <c:rich>
                  <a:bodyPr/>
                  <a:lstStyle/>
                  <a:p>
                    <a:fld id="{E70ED52E-3BB2-E847-8D44-C456AE8685D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2434-6242-A820-380B807E72CE}"/>
                </c:ext>
              </c:extLst>
            </c:dLbl>
            <c:dLbl>
              <c:idx val="5"/>
              <c:tx>
                <c:rich>
                  <a:bodyPr/>
                  <a:lstStyle/>
                  <a:p>
                    <a:fld id="{DD92E7AD-14E4-1841-9A2C-6B3447BAA09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2434-6242-A820-380B807E72CE}"/>
                </c:ext>
              </c:extLst>
            </c:dLbl>
            <c:dLbl>
              <c:idx val="6"/>
              <c:tx>
                <c:rich>
                  <a:bodyPr/>
                  <a:lstStyle/>
                  <a:p>
                    <a:fld id="{8B198AA9-FF53-F246-AE7E-C16B920A101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2434-6242-A820-380B807E72CE}"/>
                </c:ext>
              </c:extLst>
            </c:dLbl>
            <c:dLbl>
              <c:idx val="7"/>
              <c:tx>
                <c:rich>
                  <a:bodyPr/>
                  <a:lstStyle/>
                  <a:p>
                    <a:fld id="{4DA8FC7C-84AA-F24E-BC2A-D07335D7139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2434-6242-A820-380B807E72CE}"/>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Calcs!$O$55:$O$62</c:f>
              <c:numCache>
                <c:formatCode>0.00</c:formatCode>
                <c:ptCount val="8"/>
                <c:pt idx="0">
                  <c:v>0</c:v>
                </c:pt>
                <c:pt idx="1">
                  <c:v>-0.7778174593052023</c:v>
                </c:pt>
                <c:pt idx="2">
                  <c:v>-1.1000000000000001</c:v>
                </c:pt>
                <c:pt idx="3">
                  <c:v>-0.77781745930520241</c:v>
                </c:pt>
                <c:pt idx="4">
                  <c:v>-1.347663300399482E-16</c:v>
                </c:pt>
                <c:pt idx="5">
                  <c:v>0.7778174593052023</c:v>
                </c:pt>
                <c:pt idx="6">
                  <c:v>1.1000000000000001</c:v>
                </c:pt>
                <c:pt idx="7">
                  <c:v>0.77781745930520252</c:v>
                </c:pt>
              </c:numCache>
            </c:numRef>
          </c:xVal>
          <c:yVal>
            <c:numRef>
              <c:f>Calcs!$P$55:$P$62</c:f>
              <c:numCache>
                <c:formatCode>0.00</c:formatCode>
                <c:ptCount val="8"/>
                <c:pt idx="0">
                  <c:v>1.1000000000000001</c:v>
                </c:pt>
                <c:pt idx="1">
                  <c:v>0.77781745930520241</c:v>
                </c:pt>
                <c:pt idx="2">
                  <c:v>6.7383165019974101E-17</c:v>
                </c:pt>
                <c:pt idx="3">
                  <c:v>-0.7778174593052023</c:v>
                </c:pt>
                <c:pt idx="4">
                  <c:v>-1.1000000000000001</c:v>
                </c:pt>
                <c:pt idx="5">
                  <c:v>-0.77781745930520252</c:v>
                </c:pt>
                <c:pt idx="6">
                  <c:v>-2.0214949505992233E-16</c:v>
                </c:pt>
                <c:pt idx="7">
                  <c:v>0.77781745930520219</c:v>
                </c:pt>
              </c:numCache>
            </c:numRef>
          </c:yVal>
          <c:smooth val="0"/>
          <c:extLst>
            <c:ext xmlns:c15="http://schemas.microsoft.com/office/drawing/2012/chart" uri="{02D57815-91ED-43cb-92C2-25804820EDAC}">
              <c15:datalabelsRange>
                <c15:f>Calcs!$M$55:$M$62</c15:f>
                <c15:dlblRangeCache>
                  <c:ptCount val="8"/>
                  <c:pt idx="0">
                    <c:v>N</c:v>
                  </c:pt>
                  <c:pt idx="1">
                    <c:v>NE</c:v>
                  </c:pt>
                  <c:pt idx="2">
                    <c:v>E</c:v>
                  </c:pt>
                  <c:pt idx="3">
                    <c:v>SE</c:v>
                  </c:pt>
                  <c:pt idx="4">
                    <c:v>S</c:v>
                  </c:pt>
                  <c:pt idx="5">
                    <c:v>SW</c:v>
                  </c:pt>
                  <c:pt idx="6">
                    <c:v>W</c:v>
                  </c:pt>
                  <c:pt idx="7">
                    <c:v>NW</c:v>
                  </c:pt>
                </c15:dlblRangeCache>
              </c15:datalabelsRange>
            </c:ext>
            <c:ext xmlns:c16="http://schemas.microsoft.com/office/drawing/2014/chart" uri="{C3380CC4-5D6E-409C-BE32-E72D297353CC}">
              <c16:uniqueId val="{0000002B-2434-6242-A820-380B807E72CE}"/>
            </c:ext>
          </c:extLst>
        </c:ser>
        <c:ser>
          <c:idx val="15"/>
          <c:order val="15"/>
          <c:tx>
            <c:v>Gal Plane</c:v>
          </c:tx>
          <c:spPr>
            <a:ln w="19050" cap="rnd">
              <a:solidFill>
                <a:schemeClr val="bg1">
                  <a:lumMod val="50000"/>
                  <a:alpha val="55000"/>
                </a:schemeClr>
              </a:solidFill>
              <a:prstDash val="dash"/>
              <a:round/>
            </a:ln>
            <a:effectLst/>
          </c:spPr>
          <c:marker>
            <c:symbol val="none"/>
          </c:marker>
          <c:xVal>
            <c:numRef>
              <c:f>PEPSI!$BK$42:$BK$54</c:f>
              <c:numCache>
                <c:formatCode>0.00</c:formatCode>
                <c:ptCount val="13"/>
                <c:pt idx="0">
                  <c:v>4.9327360714542306E-3</c:v>
                </c:pt>
                <c:pt idx="1">
                  <c:v>-0.47189676037800249</c:v>
                </c:pt>
                <c:pt idx="2">
                  <c:v>-0.84194172020317737</c:v>
                </c:pt>
                <c:pt idx="3">
                  <c:v>#N/A</c:v>
                </c:pt>
                <c:pt idx="4">
                  <c:v>#N/A</c:v>
                </c:pt>
                <c:pt idx="5">
                  <c:v>#N/A</c:v>
                </c:pt>
                <c:pt idx="6">
                  <c:v>#N/A</c:v>
                </c:pt>
                <c:pt idx="7">
                  <c:v>#N/A</c:v>
                </c:pt>
                <c:pt idx="8">
                  <c:v>#N/A</c:v>
                </c:pt>
                <c:pt idx="9">
                  <c:v>0.9938325845272683</c:v>
                </c:pt>
                <c:pt idx="10">
                  <c:v>0.83845946945531658</c:v>
                </c:pt>
                <c:pt idx="11">
                  <c:v>0.47779859529296337</c:v>
                </c:pt>
                <c:pt idx="12">
                  <c:v>4.9327360714542306E-3</c:v>
                </c:pt>
              </c:numCache>
            </c:numRef>
          </c:xVal>
          <c:yVal>
            <c:numRef>
              <c:f>PEPSI!$BL$42:$BL$54</c:f>
              <c:numCache>
                <c:formatCode>0.00</c:formatCode>
                <c:ptCount val="13"/>
                <c:pt idx="0">
                  <c:v>0.93808197731179532</c:v>
                </c:pt>
                <c:pt idx="1">
                  <c:v>0.82392521916894446</c:v>
                </c:pt>
                <c:pt idx="2">
                  <c:v>0.4905267540205826</c:v>
                </c:pt>
                <c:pt idx="3">
                  <c:v>#N/A</c:v>
                </c:pt>
                <c:pt idx="4">
                  <c:v>#N/A</c:v>
                </c:pt>
                <c:pt idx="5">
                  <c:v>#N/A</c:v>
                </c:pt>
                <c:pt idx="6">
                  <c:v>#N/A</c:v>
                </c:pt>
                <c:pt idx="7">
                  <c:v>#N/A</c:v>
                </c:pt>
                <c:pt idx="8">
                  <c:v>#N/A</c:v>
                </c:pt>
                <c:pt idx="9">
                  <c:v>-6.1622330090699562E-3</c:v>
                </c:pt>
                <c:pt idx="10">
                  <c:v>0.47518827631853094</c:v>
                </c:pt>
                <c:pt idx="11">
                  <c:v>0.813368898257531</c:v>
                </c:pt>
                <c:pt idx="12">
                  <c:v>0.93808197731179532</c:v>
                </c:pt>
              </c:numCache>
            </c:numRef>
          </c:yVal>
          <c:smooth val="1"/>
          <c:extLst>
            <c:ext xmlns:c16="http://schemas.microsoft.com/office/drawing/2014/chart" uri="{C3380CC4-5D6E-409C-BE32-E72D297353CC}">
              <c16:uniqueId val="{0000002C-2434-6242-A820-380B807E72CE}"/>
            </c:ext>
          </c:extLst>
        </c:ser>
        <c:ser>
          <c:idx val="16"/>
          <c:order val="16"/>
          <c:tx>
            <c:v>Gal Cent</c:v>
          </c:tx>
          <c:spPr>
            <a:ln w="25400" cap="rnd">
              <a:noFill/>
              <a:round/>
            </a:ln>
            <a:effectLst/>
          </c:spPr>
          <c:marker>
            <c:symbol val="none"/>
          </c:marker>
          <c:dLbls>
            <c:dLbl>
              <c:idx val="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2434-6242-A820-380B807E72C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PEPSI!$BK$56</c:f>
              <c:numCache>
                <c:formatCode>0.00</c:formatCode>
                <c:ptCount val="1"/>
                <c:pt idx="0">
                  <c:v>#N/A</c:v>
                </c:pt>
              </c:numCache>
            </c:numRef>
          </c:xVal>
          <c:yVal>
            <c:numRef>
              <c:f>PEPSI!$BL$56</c:f>
              <c:numCache>
                <c:formatCode>0.00</c:formatCode>
                <c:ptCount val="1"/>
                <c:pt idx="0">
                  <c:v>#N/A</c:v>
                </c:pt>
              </c:numCache>
            </c:numRef>
          </c:yVal>
          <c:smooth val="0"/>
          <c:extLst>
            <c:ext xmlns:c15="http://schemas.microsoft.com/office/drawing/2012/chart" uri="{02D57815-91ED-43cb-92C2-25804820EDAC}">
              <c15:datalabelsRange>
                <c15:f>PEPSI!$BG$56</c15:f>
                <c15:dlblRangeCache>
                  <c:ptCount val="1"/>
                  <c:pt idx="0">
                    <c:v>GC</c:v>
                  </c:pt>
                </c15:dlblRangeCache>
              </c15:datalabelsRange>
            </c:ext>
            <c:ext xmlns:c16="http://schemas.microsoft.com/office/drawing/2014/chart" uri="{C3380CC4-5D6E-409C-BE32-E72D297353CC}">
              <c16:uniqueId val="{0000002E-2434-6242-A820-380B807E72CE}"/>
            </c:ext>
          </c:extLst>
        </c:ser>
        <c:ser>
          <c:idx val="17"/>
          <c:order val="17"/>
          <c:tx>
            <c:v>MODS UT=</c:v>
          </c:tx>
          <c:spPr>
            <a:ln w="25400" cap="rnd">
              <a:noFill/>
              <a:round/>
            </a:ln>
            <a:effectLst/>
          </c:spPr>
          <c:marker>
            <c:symbol val="none"/>
          </c:marker>
          <c:dLbls>
            <c:dLbl>
              <c:idx val="0"/>
              <c:tx>
                <c:rich>
                  <a:bodyPr/>
                  <a:lstStyle/>
                  <a:p>
                    <a:fld id="{7FC05B81-3D34-C941-8BCF-145E8F24366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2434-6242-A820-380B807E72CE}"/>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PEPSI!$BO$46</c:f>
              <c:numCache>
                <c:formatCode>General</c:formatCode>
                <c:ptCount val="1"/>
                <c:pt idx="0">
                  <c:v>0.7</c:v>
                </c:pt>
              </c:numCache>
            </c:numRef>
          </c:xVal>
          <c:yVal>
            <c:numRef>
              <c:f>PEPSI!$BP$46</c:f>
              <c:numCache>
                <c:formatCode>General</c:formatCode>
                <c:ptCount val="1"/>
                <c:pt idx="0">
                  <c:v>1.08</c:v>
                </c:pt>
              </c:numCache>
            </c:numRef>
          </c:yVal>
          <c:smooth val="0"/>
          <c:extLst>
            <c:ext xmlns:c15="http://schemas.microsoft.com/office/drawing/2012/chart" uri="{02D57815-91ED-43cb-92C2-25804820EDAC}">
              <c15:datalabelsRange>
                <c15:f>PEPSI!$BQ$42</c15:f>
                <c15:dlblRangeCache>
                  <c:ptCount val="1"/>
                  <c:pt idx="0">
                    <c:v>PEPSI, UT=</c:v>
                  </c:pt>
                </c15:dlblRangeCache>
              </c15:datalabelsRange>
            </c:ext>
            <c:ext xmlns:c16="http://schemas.microsoft.com/office/drawing/2014/chart" uri="{C3380CC4-5D6E-409C-BE32-E72D297353CC}">
              <c16:uniqueId val="{00000030-2434-6242-A820-380B807E72CE}"/>
            </c:ext>
          </c:extLst>
        </c:ser>
        <c:ser>
          <c:idx val="18"/>
          <c:order val="18"/>
          <c:tx>
            <c:v>UT</c:v>
          </c:tx>
          <c:spPr>
            <a:ln w="25400" cap="rnd">
              <a:noFill/>
              <a:round/>
            </a:ln>
            <a:effectLst/>
          </c:spPr>
          <c:marker>
            <c:symbol val="none"/>
          </c:marker>
          <c:dLbls>
            <c:dLbl>
              <c:idx val="0"/>
              <c:tx>
                <c:rich>
                  <a:bodyPr/>
                  <a:lstStyle/>
                  <a:p>
                    <a:fld id="{EA683FB3-F096-5C46-8202-5570A711787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2434-6242-A820-380B807E72CE}"/>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PEPSI!$BO$47</c:f>
              <c:numCache>
                <c:formatCode>General</c:formatCode>
                <c:ptCount val="1"/>
                <c:pt idx="0">
                  <c:v>0.98</c:v>
                </c:pt>
              </c:numCache>
            </c:numRef>
          </c:xVal>
          <c:yVal>
            <c:numRef>
              <c:f>PEPSI!$BP$47</c:f>
              <c:numCache>
                <c:formatCode>General</c:formatCode>
                <c:ptCount val="1"/>
                <c:pt idx="0">
                  <c:v>1.08</c:v>
                </c:pt>
              </c:numCache>
            </c:numRef>
          </c:yVal>
          <c:smooth val="0"/>
          <c:extLst>
            <c:ext xmlns:c15="http://schemas.microsoft.com/office/drawing/2012/chart" uri="{02D57815-91ED-43cb-92C2-25804820EDAC}">
              <c15:datalabelsRange>
                <c15:f>PEPSI!$BQ$43</c15:f>
                <c15:dlblRangeCache>
                  <c:ptCount val="1"/>
                  <c:pt idx="0">
                    <c:v>9.40</c:v>
                  </c:pt>
                </c15:dlblRangeCache>
              </c15:datalabelsRange>
            </c:ext>
            <c:ext xmlns:c16="http://schemas.microsoft.com/office/drawing/2014/chart" uri="{C3380CC4-5D6E-409C-BE32-E72D297353CC}">
              <c16:uniqueId val="{00000032-2434-6242-A820-380B807E72CE}"/>
            </c:ext>
          </c:extLst>
        </c:ser>
        <c:ser>
          <c:idx val="19"/>
          <c:order val="19"/>
          <c:tx>
            <c:v>Title</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fld id="{51E7EB3A-1CD0-2F44-A4BB-6128FF55F593}" type="CELLRANGE">
                      <a:rPr lang="en-US">
                        <a:solidFill>
                          <a:schemeClr val="tx1">
                            <a:lumMod val="65000"/>
                            <a:lumOff val="35000"/>
                          </a:schemeClr>
                        </a:solidFill>
                      </a:rPr>
                      <a:pPr>
                        <a:defRPr sz="2000">
                          <a:solidFill>
                            <a:schemeClr val="tx1">
                              <a:lumMod val="65000"/>
                              <a:lumOff val="35000"/>
                            </a:schemeClr>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manualLayout>
                      <c:w val="0.25197806077008444"/>
                      <c:h val="8.2231745026285233E-2"/>
                    </c:manualLayout>
                  </c15:layout>
                  <c15:dlblFieldTable/>
                  <c15:showDataLabelsRange val="1"/>
                </c:ext>
                <c:ext xmlns:c16="http://schemas.microsoft.com/office/drawing/2014/chart" uri="{C3380CC4-5D6E-409C-BE32-E72D297353CC}">
                  <c16:uniqueId val="{00000033-2434-6242-A820-380B807E72CE}"/>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Calcs!$M$64</c:f>
              <c:numCache>
                <c:formatCode>General</c:formatCode>
                <c:ptCount val="1"/>
                <c:pt idx="0">
                  <c:v>-0.9</c:v>
                </c:pt>
              </c:numCache>
            </c:numRef>
          </c:xVal>
          <c:yVal>
            <c:numRef>
              <c:f>Calcs!$N$64</c:f>
              <c:numCache>
                <c:formatCode>General</c:formatCode>
                <c:ptCount val="1"/>
                <c:pt idx="0">
                  <c:v>1.08</c:v>
                </c:pt>
              </c:numCache>
            </c:numRef>
          </c:yVal>
          <c:smooth val="0"/>
          <c:extLst>
            <c:ext xmlns:c15="http://schemas.microsoft.com/office/drawing/2012/chart" uri="{02D57815-91ED-43cb-92C2-25804820EDAC}">
              <c15:datalabelsRange>
                <c15:f>Calcs!$O$64</c15:f>
                <c15:dlblRangeCache>
                  <c:ptCount val="1"/>
                  <c:pt idx="0">
                    <c:v>All-sky Camera</c:v>
                  </c:pt>
                </c15:dlblRangeCache>
              </c15:datalabelsRange>
            </c:ext>
            <c:ext xmlns:c16="http://schemas.microsoft.com/office/drawing/2014/chart" uri="{C3380CC4-5D6E-409C-BE32-E72D297353CC}">
              <c16:uniqueId val="{00000034-2434-6242-A820-380B807E72CE}"/>
            </c:ext>
          </c:extLst>
        </c:ser>
        <c:ser>
          <c:idx val="20"/>
          <c:order val="20"/>
          <c:tx>
            <c:v>NCP</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fld id="{E7003566-6E4A-094E-A17F-86EF1471C677}" type="CELLRANGE">
                      <a:rPr lang="en-US"/>
                      <a:pPr>
                        <a:defRPr sz="1000">
                          <a:solidFill>
                            <a:schemeClr val="tx1">
                              <a:lumMod val="50000"/>
                              <a:lumOff val="50000"/>
                            </a:schemeClr>
                          </a:solidFill>
                        </a:defRPr>
                      </a:pPr>
                      <a:t>[CELLRANGE]</a:t>
                    </a:fld>
                    <a:endParaRPr lang="en-US"/>
                  </a:p>
                </c:rich>
              </c:tx>
              <c:spPr>
                <a:no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2434-6242-A820-380B807E72CE}"/>
                </c:ext>
              </c:extLst>
            </c:dLbl>
            <c:spPr>
              <a:no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Calcs!$M$65</c:f>
              <c:numCache>
                <c:formatCode>General</c:formatCode>
                <c:ptCount val="1"/>
                <c:pt idx="0">
                  <c:v>0</c:v>
                </c:pt>
              </c:numCache>
            </c:numRef>
          </c:xVal>
          <c:yVal>
            <c:numRef>
              <c:f>Calcs!$N$65</c:f>
              <c:numCache>
                <c:formatCode>0.00</c:formatCode>
                <c:ptCount val="1"/>
                <c:pt idx="0">
                  <c:v>0.6366666666666666</c:v>
                </c:pt>
              </c:numCache>
            </c:numRef>
          </c:yVal>
          <c:smooth val="0"/>
          <c:extLst>
            <c:ext xmlns:c15="http://schemas.microsoft.com/office/drawing/2012/chart" uri="{02D57815-91ED-43cb-92C2-25804820EDAC}">
              <c15:datalabelsRange>
                <c15:f>Calcs!$O$65</c15:f>
                <c15:dlblRangeCache>
                  <c:ptCount val="1"/>
                  <c:pt idx="0">
                    <c:v>NCP</c:v>
                  </c:pt>
                </c15:dlblRangeCache>
              </c15:datalabelsRange>
            </c:ext>
            <c:ext xmlns:c16="http://schemas.microsoft.com/office/drawing/2014/chart" uri="{C3380CC4-5D6E-409C-BE32-E72D297353CC}">
              <c16:uniqueId val="{00000036-2434-6242-A820-380B807E72CE}"/>
            </c:ext>
          </c:extLst>
        </c:ser>
        <c:ser>
          <c:idx val="21"/>
          <c:order val="21"/>
          <c:tx>
            <c:v>Meridian</c:v>
          </c:tx>
          <c:spPr>
            <a:ln w="15875" cap="rnd">
              <a:solidFill>
                <a:srgbClr val="FF0000">
                  <a:alpha val="39947"/>
                </a:srgbClr>
              </a:solidFill>
              <a:prstDash val="lgDash"/>
              <a:round/>
            </a:ln>
            <a:effectLst/>
          </c:spPr>
          <c:marker>
            <c:symbol val="none"/>
          </c:marker>
          <c:dLbls>
            <c:dLbl>
              <c:idx val="0"/>
              <c:tx>
                <c:rich>
                  <a:bodyPr/>
                  <a:lstStyle/>
                  <a:p>
                    <a:fld id="{31C8D546-3787-C643-9F50-41A162E23EF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98E-7D4A-9151-83005F3FE975}"/>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98E-7D4A-9151-83005F3FE97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Calcs!$M$66:$M$67</c:f>
              <c:numCache>
                <c:formatCode>General</c:formatCode>
                <c:ptCount val="2"/>
                <c:pt idx="0">
                  <c:v>0</c:v>
                </c:pt>
                <c:pt idx="1">
                  <c:v>0</c:v>
                </c:pt>
              </c:numCache>
            </c:numRef>
          </c:xVal>
          <c:yVal>
            <c:numRef>
              <c:f>Calcs!$N$66:$N$67</c:f>
              <c:numCache>
                <c:formatCode>General</c:formatCode>
                <c:ptCount val="2"/>
                <c:pt idx="0">
                  <c:v>-1</c:v>
                </c:pt>
                <c:pt idx="1">
                  <c:v>1</c:v>
                </c:pt>
              </c:numCache>
            </c:numRef>
          </c:yVal>
          <c:smooth val="0"/>
          <c:extLst>
            <c:ext xmlns:c15="http://schemas.microsoft.com/office/drawing/2012/chart" uri="{02D57815-91ED-43cb-92C2-25804820EDAC}">
              <c15:datalabelsRange>
                <c15:f>Calcs!$O$66</c15:f>
                <c15:dlblRangeCache>
                  <c:ptCount val="1"/>
                  <c:pt idx="0">
                    <c:v>Meridian</c:v>
                  </c:pt>
                </c15:dlblRangeCache>
              </c15:datalabelsRange>
            </c:ext>
            <c:ext xmlns:c16="http://schemas.microsoft.com/office/drawing/2014/chart" uri="{C3380CC4-5D6E-409C-BE32-E72D297353CC}">
              <c16:uniqueId val="{00000037-2434-6242-A820-380B807E72CE}"/>
            </c:ext>
          </c:extLst>
        </c:ser>
        <c:ser>
          <c:idx val="22"/>
          <c:order val="22"/>
          <c:tx>
            <c:v>Date</c:v>
          </c:tx>
          <c:spPr>
            <a:ln w="25400" cap="rnd">
              <a:noFill/>
              <a:round/>
            </a:ln>
            <a:effectLst/>
          </c:spPr>
          <c:marker>
            <c:symbol val="none"/>
          </c:marker>
          <c:dLbls>
            <c:dLbl>
              <c:idx val="0"/>
              <c:tx>
                <c:rich>
                  <a:bodyPr/>
                  <a:lstStyle/>
                  <a:p>
                    <a:fld id="{D5C8B40F-1D56-C441-AFB3-0452A2598CB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98E-7D4A-9151-83005F3FE975}"/>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Calcs!$S$22</c:f>
              <c:numCache>
                <c:formatCode>General</c:formatCode>
                <c:ptCount val="1"/>
                <c:pt idx="0">
                  <c:v>0.9</c:v>
                </c:pt>
              </c:numCache>
            </c:numRef>
          </c:xVal>
          <c:yVal>
            <c:numRef>
              <c:f>Calcs!$T$22</c:f>
              <c:numCache>
                <c:formatCode>General</c:formatCode>
                <c:ptCount val="1"/>
                <c:pt idx="0">
                  <c:v>0.95</c:v>
                </c:pt>
              </c:numCache>
            </c:numRef>
          </c:yVal>
          <c:smooth val="0"/>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898E-7D4A-9151-83005F3FE975}"/>
            </c:ext>
          </c:extLst>
        </c:ser>
        <c:dLbls>
          <c:showLegendKey val="0"/>
          <c:showVal val="0"/>
          <c:showCatName val="0"/>
          <c:showSerName val="0"/>
          <c:showPercent val="0"/>
          <c:showBubbleSize val="0"/>
        </c:dLbls>
        <c:axId val="1866022943"/>
        <c:axId val="150038976"/>
      </c:scatterChart>
      <c:valAx>
        <c:axId val="1866022943"/>
        <c:scaling>
          <c:orientation val="minMax"/>
          <c:max val="1.2"/>
          <c:min val="-1.2"/>
        </c:scaling>
        <c:delete val="1"/>
        <c:axPos val="b"/>
        <c:numFmt formatCode="0.00" sourceLinked="1"/>
        <c:majorTickMark val="none"/>
        <c:minorTickMark val="none"/>
        <c:tickLblPos val="low"/>
        <c:crossAx val="150038976"/>
        <c:crosses val="autoZero"/>
        <c:crossBetween val="midCat"/>
      </c:valAx>
      <c:valAx>
        <c:axId val="150038976"/>
        <c:scaling>
          <c:orientation val="minMax"/>
          <c:max val="1.2"/>
          <c:min val="-1.2"/>
        </c:scaling>
        <c:delete val="1"/>
        <c:axPos val="l"/>
        <c:numFmt formatCode="0.00" sourceLinked="1"/>
        <c:majorTickMark val="none"/>
        <c:minorTickMark val="none"/>
        <c:tickLblPos val="low"/>
        <c:crossAx val="1866022943"/>
        <c:crosses val="autoZero"/>
        <c:crossBetween val="midCat"/>
      </c:valAx>
      <c:spPr>
        <a:gradFill flip="none" rotWithShape="1">
          <a:gsLst>
            <a:gs pos="39000">
              <a:schemeClr val="bg1"/>
            </a:gs>
            <a:gs pos="0">
              <a:schemeClr val="bg1"/>
            </a:gs>
            <a:gs pos="42000">
              <a:schemeClr val="accent4">
                <a:alpha val="69719"/>
                <a:lumMod val="64000"/>
                <a:lumOff val="36000"/>
              </a:schemeClr>
            </a:gs>
            <a:gs pos="61000">
              <a:schemeClr val="bg1">
                <a:lumMod val="85000"/>
              </a:schemeClr>
            </a:gs>
            <a:gs pos="59000">
              <a:schemeClr val="accent4">
                <a:lumMod val="75000"/>
                <a:alpha val="56000"/>
              </a:schemeClr>
            </a:gs>
          </a:gsLst>
          <a:path path="circle">
            <a:fillToRect l="50000" t="50000" r="50000" b="50000"/>
          </a:path>
          <a:tileRect/>
        </a:gra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RA-Dec lines of constant elevation (0°,</a:t>
            </a:r>
            <a:r>
              <a:rPr lang="en-US" sz="1600" b="1" baseline="0"/>
              <a:t> 30°, 60°)</a:t>
            </a:r>
            <a:endParaRPr lang="en-US" sz="1600" b="1"/>
          </a:p>
        </c:rich>
      </c:tx>
      <c:layout>
        <c:manualLayout>
          <c:xMode val="edge"/>
          <c:yMode val="edge"/>
          <c:x val="0.29735537737405188"/>
          <c:y val="2.076843198338525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761499131253713E-2"/>
          <c:y val="8.7722735555311751E-2"/>
          <c:w val="0.88694526136637653"/>
          <c:h val="0.79472702041542198"/>
        </c:manualLayout>
      </c:layout>
      <c:scatterChart>
        <c:scatterStyle val="smoothMarker"/>
        <c:varyColors val="0"/>
        <c:ser>
          <c:idx val="1"/>
          <c:order val="0"/>
          <c:tx>
            <c:v>Zenith</c:v>
          </c:tx>
          <c:spPr>
            <a:ln w="19050" cap="rnd">
              <a:solidFill>
                <a:schemeClr val="accent2"/>
              </a:solidFill>
              <a:round/>
            </a:ln>
            <a:effectLst/>
          </c:spPr>
          <c:marker>
            <c:symbol val="circle"/>
            <c:size val="6"/>
            <c:spPr>
              <a:noFill/>
              <a:ln w="1587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'RA-Dec'!$B$18</c:f>
              <c:numCache>
                <c:formatCode>0.00</c:formatCode>
                <c:ptCount val="1"/>
                <c:pt idx="0">
                  <c:v>10.646162054247005</c:v>
                </c:pt>
              </c:numCache>
            </c:numRef>
          </c:xVal>
          <c:yVal>
            <c:numRef>
              <c:f>'RA-Dec'!$B$20</c:f>
              <c:numCache>
                <c:formatCode>0.00</c:formatCode>
                <c:ptCount val="1"/>
                <c:pt idx="0">
                  <c:v>32.700000000000003</c:v>
                </c:pt>
              </c:numCache>
            </c:numRef>
          </c:yVal>
          <c:smooth val="1"/>
          <c:extLst>
            <c:ext xmlns:c16="http://schemas.microsoft.com/office/drawing/2014/chart" uri="{C3380CC4-5D6E-409C-BE32-E72D297353CC}">
              <c16:uniqueId val="{00000001-B10B-D246-8D66-0DDD32323B74}"/>
            </c:ext>
          </c:extLst>
        </c:ser>
        <c:ser>
          <c:idx val="0"/>
          <c:order val="1"/>
          <c:tx>
            <c:v>Alt = 60</c:v>
          </c:tx>
          <c:spPr>
            <a:ln w="19050" cap="rnd">
              <a:solidFill>
                <a:srgbClr val="FF0000"/>
              </a:solidFill>
              <a:round/>
            </a:ln>
            <a:effectLst/>
          </c:spPr>
          <c:marker>
            <c:symbol val="none"/>
          </c:marker>
          <c:xVal>
            <c:numRef>
              <c:f>'RA-Dec'!$S$5:$S$77</c:f>
              <c:numCache>
                <c:formatCode>0.00</c:formatCode>
                <c:ptCount val="73"/>
                <c:pt idx="0">
                  <c:v>10.646162054247005</c:v>
                </c:pt>
                <c:pt idx="1">
                  <c:v>11.007196133075549</c:v>
                </c:pt>
                <c:pt idx="2">
                  <c:v>11.354600338532865</c:v>
                </c:pt>
                <c:pt idx="3">
                  <c:v>11.676934071930416</c:v>
                </c:pt>
                <c:pt idx="4">
                  <c:v>11.966313165301653</c:v>
                </c:pt>
                <c:pt idx="5">
                  <c:v>12.218654963640899</c:v>
                </c:pt>
                <c:pt idx="6">
                  <c:v>12.433068182592203</c:v>
                </c:pt>
                <c:pt idx="7">
                  <c:v>12.610880535946389</c:v>
                </c:pt>
                <c:pt idx="8">
                  <c:v>12.754698365417369</c:v>
                </c:pt>
                <c:pt idx="9">
                  <c:v>12.867686000146966</c:v>
                </c:pt>
                <c:pt idx="10">
                  <c:v>12.953094022473078</c:v>
                </c:pt>
                <c:pt idx="11">
                  <c:v>13.013990464837768</c:v>
                </c:pt>
                <c:pt idx="12">
                  <c:v>13.053131914712466</c:v>
                </c:pt>
                <c:pt idx="13">
                  <c:v>13.07292070208169</c:v>
                </c:pt>
                <c:pt idx="14">
                  <c:v>13.075410091338703</c:v>
                </c:pt>
                <c:pt idx="15">
                  <c:v>13.062333342622473</c:v>
                </c:pt>
                <c:pt idx="16">
                  <c:v>13.035142528468535</c:v>
                </c:pt>
                <c:pt idx="17">
                  <c:v>12.995049451893385</c:v>
                </c:pt>
                <c:pt idx="18">
                  <c:v>12.94306489188857</c:v>
                </c:pt>
                <c:pt idx="19">
                  <c:v>12.880034602872536</c:v>
                </c:pt>
                <c:pt idx="20">
                  <c:v>12.806671669230873</c:v>
                </c:pt>
                <c:pt idx="21">
                  <c:v>12.723585389434668</c:v>
                </c:pt>
                <c:pt idx="22">
                  <c:v>12.631307095665164</c:v>
                </c:pt>
                <c:pt idx="23">
                  <c:v>12.530313356221621</c:v>
                </c:pt>
                <c:pt idx="24">
                  <c:v>12.421046945689241</c:v>
                </c:pt>
                <c:pt idx="25">
                  <c:v>12.303935850664242</c:v>
                </c:pt>
                <c:pt idx="26">
                  <c:v>12.179410435292187</c:v>
                </c:pt>
                <c:pt idx="27">
                  <c:v>12.047918739916284</c:v>
                </c:pt>
                <c:pt idx="28">
                  <c:v>11.909939743419198</c:v>
                </c:pt>
                <c:pt idx="29">
                  <c:v>11.765994301042635</c:v>
                </c:pt>
                <c:pt idx="30">
                  <c:v>11.616653391185656</c:v>
                </c:pt>
                <c:pt idx="31">
                  <c:v>11.462543283357208</c:v>
                </c:pt>
                <c:pt idx="32">
                  <c:v>11.304347288583068</c:v>
                </c:pt>
                <c:pt idx="33">
                  <c:v>11.142803879795702</c:v>
                </c:pt>
                <c:pt idx="34">
                  <c:v>10.978701168940413</c:v>
                </c:pt>
                <c:pt idx="35">
                  <c:v>10.812867982208459</c:v>
                </c:pt>
                <c:pt idx="36">
                  <c:v>10.646162054247005</c:v>
                </c:pt>
                <c:pt idx="37">
                  <c:v>10.479456126285552</c:v>
                </c:pt>
                <c:pt idx="38">
                  <c:v>10.313622939553596</c:v>
                </c:pt>
                <c:pt idx="39">
                  <c:v>10.149520228698307</c:v>
                </c:pt>
                <c:pt idx="40">
                  <c:v>9.9879768199109407</c:v>
                </c:pt>
                <c:pt idx="41">
                  <c:v>9.8297808251368011</c:v>
                </c:pt>
                <c:pt idx="42">
                  <c:v>9.6756707173083534</c:v>
                </c:pt>
                <c:pt idx="43">
                  <c:v>9.5263298074513738</c:v>
                </c:pt>
                <c:pt idx="44">
                  <c:v>9.3823843650748131</c:v>
                </c:pt>
                <c:pt idx="45">
                  <c:v>9.2444053685777252</c:v>
                </c:pt>
                <c:pt idx="46">
                  <c:v>9.1129136732018257</c:v>
                </c:pt>
                <c:pt idx="47">
                  <c:v>8.9883882578297687</c:v>
                </c:pt>
                <c:pt idx="48">
                  <c:v>8.8712771628047697</c:v>
                </c:pt>
                <c:pt idx="49">
                  <c:v>8.7620107522723885</c:v>
                </c:pt>
                <c:pt idx="50">
                  <c:v>8.6610170128288448</c:v>
                </c:pt>
                <c:pt idx="51">
                  <c:v>8.5687387190593434</c:v>
                </c:pt>
                <c:pt idx="52">
                  <c:v>8.4856524392631378</c:v>
                </c:pt>
                <c:pt idx="53">
                  <c:v>8.412289505621473</c:v>
                </c:pt>
                <c:pt idx="54">
                  <c:v>8.3492592166054376</c:v>
                </c:pt>
                <c:pt idx="55">
                  <c:v>8.2972746566006261</c:v>
                </c:pt>
                <c:pt idx="56">
                  <c:v>8.2571815800254722</c:v>
                </c:pt>
                <c:pt idx="57">
                  <c:v>8.2299907658715359</c:v>
                </c:pt>
                <c:pt idx="58">
                  <c:v>8.2169140171553074</c:v>
                </c:pt>
                <c:pt idx="59">
                  <c:v>8.2194034064123205</c:v>
                </c:pt>
                <c:pt idx="60">
                  <c:v>8.2391921937815429</c:v>
                </c:pt>
                <c:pt idx="61">
                  <c:v>8.2783336436562429</c:v>
                </c:pt>
                <c:pt idx="62">
                  <c:v>8.3392300860209314</c:v>
                </c:pt>
                <c:pt idx="63">
                  <c:v>8.424638108347045</c:v>
                </c:pt>
                <c:pt idx="64">
                  <c:v>8.5376257430766405</c:v>
                </c:pt>
                <c:pt idx="65">
                  <c:v>8.681443572547618</c:v>
                </c:pt>
                <c:pt idx="66">
                  <c:v>8.8592559259018042</c:v>
                </c:pt>
                <c:pt idx="67">
                  <c:v>9.0736691448531097</c:v>
                </c:pt>
                <c:pt idx="68">
                  <c:v>9.3260109431923581</c:v>
                </c:pt>
                <c:pt idx="69">
                  <c:v>9.6153900365635927</c:v>
                </c:pt>
                <c:pt idx="70">
                  <c:v>9.9377237699611438</c:v>
                </c:pt>
                <c:pt idx="71">
                  <c:v>10.28512797541846</c:v>
                </c:pt>
                <c:pt idx="72">
                  <c:v>10.646162054247004</c:v>
                </c:pt>
              </c:numCache>
            </c:numRef>
          </c:xVal>
          <c:yVal>
            <c:numRef>
              <c:f>'RA-Dec'!$T$5:$T$77</c:f>
              <c:numCache>
                <c:formatCode>0.0</c:formatCode>
                <c:ptCount val="73"/>
                <c:pt idx="0">
                  <c:v>62.7</c:v>
                </c:pt>
                <c:pt idx="1">
                  <c:v>62.500657429065804</c:v>
                </c:pt>
                <c:pt idx="2">
                  <c:v>61.911941304031465</c:v>
                </c:pt>
                <c:pt idx="3">
                  <c:v>60.959918239616364</c:v>
                </c:pt>
                <c:pt idx="4">
                  <c:v>59.682632413026376</c:v>
                </c:pt>
                <c:pt idx="5">
                  <c:v>58.124299898133501</c:v>
                </c:pt>
                <c:pt idx="6">
                  <c:v>56.330224788620711</c:v>
                </c:pt>
                <c:pt idx="7">
                  <c:v>54.3433184012396</c:v>
                </c:pt>
                <c:pt idx="8">
                  <c:v>52.202258439900284</c:v>
                </c:pt>
                <c:pt idx="9">
                  <c:v>49.940884409088838</c:v>
                </c:pt>
                <c:pt idx="10">
                  <c:v>47.588347861733126</c:v>
                </c:pt>
                <c:pt idx="11">
                  <c:v>45.169636377788919</c:v>
                </c:pt>
                <c:pt idx="12">
                  <c:v>42.706226966718795</c:v>
                </c:pt>
                <c:pt idx="13">
                  <c:v>40.216735243953742</c:v>
                </c:pt>
                <c:pt idx="14">
                  <c:v>37.717498817499582</c:v>
                </c:pt>
                <c:pt idx="15">
                  <c:v>35.223074169307544</c:v>
                </c:pt>
                <c:pt idx="16">
                  <c:v>32.746646760070028</c:v>
                </c:pt>
                <c:pt idx="17">
                  <c:v>30.300362761841608</c:v>
                </c:pt>
                <c:pt idx="18">
                  <c:v>27.895593331044335</c:v>
                </c:pt>
                <c:pt idx="19">
                  <c:v>25.543141922036746</c:v>
                </c:pt>
                <c:pt idx="20">
                  <c:v>23.25340355081503</c:v>
                </c:pt>
                <c:pt idx="21">
                  <c:v>21.036483024840013</c:v>
                </c:pt>
                <c:pt idx="22">
                  <c:v>18.90227736924777</c:v>
                </c:pt>
                <c:pt idx="23">
                  <c:v>16.860526179926964</c:v>
                </c:pt>
                <c:pt idx="24">
                  <c:v>14.92083249068096</c:v>
                </c:pt>
                <c:pt idx="25">
                  <c:v>13.092655980924066</c:v>
                </c:pt>
                <c:pt idx="26">
                  <c:v>11.385279981424008</c:v>
                </c:pt>
                <c:pt idx="27">
                  <c:v>9.8077537591609136</c:v>
                </c:pt>
                <c:pt idx="28">
                  <c:v>8.3688119669491172</c:v>
                </c:pt>
                <c:pt idx="29">
                  <c:v>7.0767738957143296</c:v>
                </c:pt>
                <c:pt idx="30">
                  <c:v>5.9394262002267482</c:v>
                </c:pt>
                <c:pt idx="31">
                  <c:v>4.9638939724096218</c:v>
                </c:pt>
                <c:pt idx="32">
                  <c:v>4.1565062538688302</c:v>
                </c:pt>
                <c:pt idx="33">
                  <c:v>3.5226631173012084</c:v>
                </c:pt>
                <c:pt idx="34">
                  <c:v>3.0667120957543088</c:v>
                </c:pt>
                <c:pt idx="35">
                  <c:v>2.7918418092295925</c:v>
                </c:pt>
                <c:pt idx="36">
                  <c:v>2.7000000000000055</c:v>
                </c:pt>
                <c:pt idx="37">
                  <c:v>2.7918418092295925</c:v>
                </c:pt>
                <c:pt idx="38">
                  <c:v>3.0667120957543088</c:v>
                </c:pt>
                <c:pt idx="39">
                  <c:v>3.5226631173012053</c:v>
                </c:pt>
                <c:pt idx="40">
                  <c:v>4.1565062538688267</c:v>
                </c:pt>
                <c:pt idx="41">
                  <c:v>4.9638939724096183</c:v>
                </c:pt>
                <c:pt idx="42">
                  <c:v>5.9394262002267517</c:v>
                </c:pt>
                <c:pt idx="43">
                  <c:v>7.0767738957143331</c:v>
                </c:pt>
                <c:pt idx="44">
                  <c:v>8.3688119669491172</c:v>
                </c:pt>
                <c:pt idx="45">
                  <c:v>9.8077537591609101</c:v>
                </c:pt>
                <c:pt idx="46">
                  <c:v>11.385279981424006</c:v>
                </c:pt>
                <c:pt idx="47">
                  <c:v>13.092655980924061</c:v>
                </c:pt>
                <c:pt idx="48">
                  <c:v>14.920832490680944</c:v>
                </c:pt>
                <c:pt idx="49">
                  <c:v>16.860526179926968</c:v>
                </c:pt>
                <c:pt idx="50">
                  <c:v>18.902277369247773</c:v>
                </c:pt>
                <c:pt idx="51">
                  <c:v>21.036483024840017</c:v>
                </c:pt>
                <c:pt idx="52">
                  <c:v>23.25340355081503</c:v>
                </c:pt>
                <c:pt idx="53">
                  <c:v>25.543141922036746</c:v>
                </c:pt>
                <c:pt idx="54">
                  <c:v>27.895593331044331</c:v>
                </c:pt>
                <c:pt idx="55">
                  <c:v>30.300362761841608</c:v>
                </c:pt>
                <c:pt idx="56">
                  <c:v>32.746646760070028</c:v>
                </c:pt>
                <c:pt idx="57">
                  <c:v>35.223074169307523</c:v>
                </c:pt>
                <c:pt idx="58">
                  <c:v>37.717498817499596</c:v>
                </c:pt>
                <c:pt idx="59">
                  <c:v>40.21673524395375</c:v>
                </c:pt>
                <c:pt idx="60">
                  <c:v>42.706226966718795</c:v>
                </c:pt>
                <c:pt idx="61">
                  <c:v>45.169636377788919</c:v>
                </c:pt>
                <c:pt idx="62">
                  <c:v>47.588347861733126</c:v>
                </c:pt>
                <c:pt idx="63">
                  <c:v>49.940884409088838</c:v>
                </c:pt>
                <c:pt idx="64">
                  <c:v>52.202258439900284</c:v>
                </c:pt>
                <c:pt idx="65">
                  <c:v>54.343318401239586</c:v>
                </c:pt>
                <c:pt idx="66">
                  <c:v>56.330224788620683</c:v>
                </c:pt>
                <c:pt idx="67">
                  <c:v>58.124299898133529</c:v>
                </c:pt>
                <c:pt idx="68">
                  <c:v>59.682632413026376</c:v>
                </c:pt>
                <c:pt idx="69">
                  <c:v>60.959918239616364</c:v>
                </c:pt>
                <c:pt idx="70">
                  <c:v>61.911941304031465</c:v>
                </c:pt>
                <c:pt idx="71">
                  <c:v>62.500657429065804</c:v>
                </c:pt>
                <c:pt idx="72">
                  <c:v>62.7</c:v>
                </c:pt>
              </c:numCache>
            </c:numRef>
          </c:yVal>
          <c:smooth val="1"/>
          <c:extLst>
            <c:ext xmlns:c16="http://schemas.microsoft.com/office/drawing/2014/chart" uri="{C3380CC4-5D6E-409C-BE32-E72D297353CC}">
              <c16:uniqueId val="{00000000-B10B-D246-8D66-0DDD32323B74}"/>
            </c:ext>
          </c:extLst>
        </c:ser>
        <c:ser>
          <c:idx val="2"/>
          <c:order val="2"/>
          <c:tx>
            <c:v>Alt = 30</c:v>
          </c:tx>
          <c:spPr>
            <a:ln w="19050" cap="rnd">
              <a:solidFill>
                <a:srgbClr val="0070C0"/>
              </a:solidFill>
              <a:round/>
            </a:ln>
            <a:effectLst/>
          </c:spPr>
          <c:marker>
            <c:symbol val="none"/>
          </c:marker>
          <c:xVal>
            <c:numRef>
              <c:f>'RA-Dec'!$V$5:$V$77</c:f>
              <c:numCache>
                <c:formatCode>0.00</c:formatCode>
                <c:ptCount val="73"/>
                <c:pt idx="0">
                  <c:v>22.646162054247004</c:v>
                </c:pt>
                <c:pt idx="1">
                  <c:v>18.711850082705272</c:v>
                </c:pt>
                <c:pt idx="2">
                  <c:v>17.639129147504512</c:v>
                </c:pt>
                <c:pt idx="3">
                  <c:v>17.173863834941056</c:v>
                </c:pt>
                <c:pt idx="4">
                  <c:v>16.889446622583389</c:v>
                </c:pt>
                <c:pt idx="5">
                  <c:v>16.680303334039063</c:v>
                </c:pt>
                <c:pt idx="6">
                  <c:v>16.508828771212801</c:v>
                </c:pt>
                <c:pt idx="7">
                  <c:v>16.358302888124175</c:v>
                </c:pt>
                <c:pt idx="8">
                  <c:v>16.220092830114414</c:v>
                </c:pt>
                <c:pt idx="9">
                  <c:v>16.089215767890124</c:v>
                </c:pt>
                <c:pt idx="10">
                  <c:v>15.962523129968773</c:v>
                </c:pt>
                <c:pt idx="11">
                  <c:v>15.8378621848157</c:v>
                </c:pt>
                <c:pt idx="12">
                  <c:v>15.713651241563824</c:v>
                </c:pt>
                <c:pt idx="13">
                  <c:v>15.588647714421858</c:v>
                </c:pt>
                <c:pt idx="14">
                  <c:v>15.461813297332506</c:v>
                </c:pt>
                <c:pt idx="15">
                  <c:v>15.332231219035217</c:v>
                </c:pt>
                <c:pt idx="16">
                  <c:v>15.199052997893</c:v>
                </c:pt>
                <c:pt idx="17">
                  <c:v>15.061462806434985</c:v>
                </c:pt>
                <c:pt idx="18">
                  <c:v>14.918652994525328</c:v>
                </c:pt>
                <c:pt idx="19">
                  <c:v>14.769807278113477</c:v>
                </c:pt>
                <c:pt idx="20">
                  <c:v>14.614089838797792</c:v>
                </c:pt>
                <c:pt idx="21">
                  <c:v>14.45063970578866</c:v>
                </c:pt>
                <c:pt idx="22">
                  <c:v>14.278570611465458</c:v>
                </c:pt>
                <c:pt idx="23">
                  <c:v>14.096977175888055</c:v>
                </c:pt>
                <c:pt idx="24">
                  <c:v>13.904948842920261</c:v>
                </c:pt>
                <c:pt idx="25">
                  <c:v>13.701593445899057</c:v>
                </c:pt>
                <c:pt idx="26">
                  <c:v>13.486072532362172</c:v>
                </c:pt>
                <c:pt idx="27">
                  <c:v>13.257650445795331</c:v>
                </c:pt>
                <c:pt idx="28">
                  <c:v>13.015758377527057</c:v>
                </c:pt>
                <c:pt idx="29">
                  <c:v>12.760072834943294</c:v>
                </c:pt>
                <c:pt idx="30">
                  <c:v>12.490604940096114</c:v>
                </c:pt>
                <c:pt idx="31">
                  <c:v>12.207792649004059</c:v>
                </c:pt>
                <c:pt idx="32">
                  <c:v>11.912582901820491</c:v>
                </c:pt>
                <c:pt idx="33">
                  <c:v>11.606486253194985</c:v>
                </c:pt>
                <c:pt idx="34">
                  <c:v>11.291584885940857</c:v>
                </c:pt>
                <c:pt idx="35">
                  <c:v>10.97047844684738</c:v>
                </c:pt>
                <c:pt idx="36">
                  <c:v>10.646162054247005</c:v>
                </c:pt>
                <c:pt idx="37">
                  <c:v>10.321845661646631</c:v>
                </c:pt>
                <c:pt idx="38">
                  <c:v>10.00073922255315</c:v>
                </c:pt>
                <c:pt idx="39">
                  <c:v>9.6858378552990256</c:v>
                </c:pt>
                <c:pt idx="40">
                  <c:v>9.3797412066735184</c:v>
                </c:pt>
                <c:pt idx="41">
                  <c:v>9.084531459489952</c:v>
                </c:pt>
                <c:pt idx="42">
                  <c:v>8.801719168397895</c:v>
                </c:pt>
                <c:pt idx="43">
                  <c:v>8.5322512735507132</c:v>
                </c:pt>
                <c:pt idx="44">
                  <c:v>8.2765657309669525</c:v>
                </c:pt>
                <c:pt idx="45">
                  <c:v>8.0346736626986797</c:v>
                </c:pt>
                <c:pt idx="46">
                  <c:v>7.8062515761318361</c:v>
                </c:pt>
                <c:pt idx="47">
                  <c:v>7.590730662594952</c:v>
                </c:pt>
                <c:pt idx="48">
                  <c:v>7.3873752655737501</c:v>
                </c:pt>
                <c:pt idx="49">
                  <c:v>7.195346932605954</c:v>
                </c:pt>
                <c:pt idx="50">
                  <c:v>7.0137534970285511</c:v>
                </c:pt>
                <c:pt idx="51">
                  <c:v>6.8416844027053498</c:v>
                </c:pt>
                <c:pt idx="52">
                  <c:v>6.6782342696962171</c:v>
                </c:pt>
                <c:pt idx="53">
                  <c:v>6.522516830380531</c:v>
                </c:pt>
                <c:pt idx="54">
                  <c:v>6.3736711139686832</c:v>
                </c:pt>
                <c:pt idx="55">
                  <c:v>6.2308613020590249</c:v>
                </c:pt>
                <c:pt idx="56">
                  <c:v>6.0932711106010116</c:v>
                </c:pt>
                <c:pt idx="57">
                  <c:v>5.9600928894587923</c:v>
                </c:pt>
                <c:pt idx="58">
                  <c:v>5.8305108111615036</c:v>
                </c:pt>
                <c:pt idx="59">
                  <c:v>5.7036763940721515</c:v>
                </c:pt>
                <c:pt idx="60">
                  <c:v>5.5786728669301837</c:v>
                </c:pt>
                <c:pt idx="61">
                  <c:v>5.4544619236783092</c:v>
                </c:pt>
                <c:pt idx="62">
                  <c:v>5.3298009785252365</c:v>
                </c:pt>
                <c:pt idx="63">
                  <c:v>5.2031083406038832</c:v>
                </c:pt>
                <c:pt idx="64">
                  <c:v>5.0722312783795962</c:v>
                </c:pt>
                <c:pt idx="65">
                  <c:v>4.9340212203698348</c:v>
                </c:pt>
                <c:pt idx="66">
                  <c:v>4.7834953372812077</c:v>
                </c:pt>
                <c:pt idx="67">
                  <c:v>4.6120207744549484</c:v>
                </c:pt>
                <c:pt idx="68">
                  <c:v>4.4028774859106203</c:v>
                </c:pt>
                <c:pt idx="69">
                  <c:v>4.1184602735529534</c:v>
                </c:pt>
                <c:pt idx="70">
                  <c:v>3.653194960989496</c:v>
                </c:pt>
                <c:pt idx="71">
                  <c:v>2.5804740257887402</c:v>
                </c:pt>
                <c:pt idx="72">
                  <c:v>#N/A</c:v>
                </c:pt>
              </c:numCache>
            </c:numRef>
          </c:xVal>
          <c:yVal>
            <c:numRef>
              <c:f>'RA-Dec'!$W$5:$W$77</c:f>
              <c:numCache>
                <c:formatCode>0.0</c:formatCode>
                <c:ptCount val="73"/>
                <c:pt idx="0">
                  <c:v>87.300000000000054</c:v>
                </c:pt>
                <c:pt idx="1">
                  <c:v>84.948975016583219</c:v>
                </c:pt>
                <c:pt idx="2">
                  <c:v>81.047697060490719</c:v>
                </c:pt>
                <c:pt idx="3">
                  <c:v>76.920664578059146</c:v>
                </c:pt>
                <c:pt idx="4">
                  <c:v>72.734499251122429</c:v>
                </c:pt>
                <c:pt idx="5">
                  <c:v>68.530076332357268</c:v>
                </c:pt>
                <c:pt idx="6">
                  <c:v>64.323293036646021</c:v>
                </c:pt>
                <c:pt idx="7">
                  <c:v>60.122606288671214</c:v>
                </c:pt>
                <c:pt idx="8">
                  <c:v>55.933720945025684</c:v>
                </c:pt>
                <c:pt idx="9">
                  <c:v>51.761221570436625</c:v>
                </c:pt>
                <c:pt idx="10">
                  <c:v>47.609259416831584</c:v>
                </c:pt>
                <c:pt idx="11">
                  <c:v>43.481892409705488</c:v>
                </c:pt>
                <c:pt idx="12">
                  <c:v>39.383282208993904</c:v>
                </c:pt>
                <c:pt idx="13">
                  <c:v>35.317828471209189</c:v>
                </c:pt>
                <c:pt idx="14">
                  <c:v>31.290275550750852</c:v>
                </c:pt>
                <c:pt idx="15">
                  <c:v>27.305808759669958</c:v>
                </c:pt>
                <c:pt idx="16">
                  <c:v>23.370149307327885</c:v>
                </c:pt>
                <c:pt idx="17">
                  <c:v>19.489653189349202</c:v>
                </c:pt>
                <c:pt idx="18">
                  <c:v>15.671417208363078</c:v>
                </c:pt>
                <c:pt idx="19">
                  <c:v>11.923393927912317</c:v>
                </c:pt>
                <c:pt idx="20">
                  <c:v>8.2545161384840817</c:v>
                </c:pt>
                <c:pt idx="21">
                  <c:v>4.6748300009024097</c:v>
                </c:pt>
                <c:pt idx="22">
                  <c:v>1.1956341431657802</c:v>
                </c:pt>
                <c:pt idx="23">
                  <c:v>-2.1703806480651613</c:v>
                </c:pt>
                <c:pt idx="24">
                  <c:v>-5.409000141473153</c:v>
                </c:pt>
                <c:pt idx="25">
                  <c:v>-8.5043776375425892</c:v>
                </c:pt>
                <c:pt idx="26">
                  <c:v>-11.438967190409475</c:v>
                </c:pt>
                <c:pt idx="27">
                  <c:v>-14.193526166552527</c:v>
                </c:pt>
                <c:pt idx="28">
                  <c:v>-16.747221421197551</c:v>
                </c:pt>
                <c:pt idx="29">
                  <c:v>-19.07787880091195</c:v>
                </c:pt>
                <c:pt idx="30">
                  <c:v>-21.162416322855414</c:v>
                </c:pt>
                <c:pt idx="31">
                  <c:v>-22.977493167455926</c:v>
                </c:pt>
                <c:pt idx="32">
                  <c:v>-24.500385364637573</c:v>
                </c:pt>
                <c:pt idx="33">
                  <c:v>-25.710062512702613</c:v>
                </c:pt>
                <c:pt idx="34">
                  <c:v>-26.588390720429874</c:v>
                </c:pt>
                <c:pt idx="35">
                  <c:v>-27.121335326821079</c:v>
                </c:pt>
                <c:pt idx="36">
                  <c:v>-27.3</c:v>
                </c:pt>
                <c:pt idx="37">
                  <c:v>-27.121335326821079</c:v>
                </c:pt>
                <c:pt idx="38">
                  <c:v>-26.588390720429874</c:v>
                </c:pt>
                <c:pt idx="39">
                  <c:v>-25.710062512702613</c:v>
                </c:pt>
                <c:pt idx="40">
                  <c:v>-24.500385364637577</c:v>
                </c:pt>
                <c:pt idx="41">
                  <c:v>-22.977493167455936</c:v>
                </c:pt>
                <c:pt idx="42">
                  <c:v>-21.162416322855407</c:v>
                </c:pt>
                <c:pt idx="43">
                  <c:v>-19.077878800911943</c:v>
                </c:pt>
                <c:pt idx="44">
                  <c:v>-16.747221421197562</c:v>
                </c:pt>
                <c:pt idx="45">
                  <c:v>-14.193526166552537</c:v>
                </c:pt>
                <c:pt idx="46">
                  <c:v>-11.438967190409482</c:v>
                </c:pt>
                <c:pt idx="47">
                  <c:v>-8.5043776375425981</c:v>
                </c:pt>
                <c:pt idx="48">
                  <c:v>-5.4090001414731823</c:v>
                </c:pt>
                <c:pt idx="49">
                  <c:v>-2.1703806480651551</c:v>
                </c:pt>
                <c:pt idx="50">
                  <c:v>1.1956341431657882</c:v>
                </c:pt>
                <c:pt idx="51">
                  <c:v>4.6748300009024186</c:v>
                </c:pt>
                <c:pt idx="52">
                  <c:v>8.2545161384840799</c:v>
                </c:pt>
                <c:pt idx="53">
                  <c:v>11.923393927912315</c:v>
                </c:pt>
                <c:pt idx="54">
                  <c:v>15.671417208363067</c:v>
                </c:pt>
                <c:pt idx="55">
                  <c:v>19.489653189349191</c:v>
                </c:pt>
                <c:pt idx="56">
                  <c:v>23.370149307327868</c:v>
                </c:pt>
                <c:pt idx="57">
                  <c:v>27.30580875966994</c:v>
                </c:pt>
                <c:pt idx="58">
                  <c:v>31.290275550750859</c:v>
                </c:pt>
                <c:pt idx="59">
                  <c:v>35.317828471209197</c:v>
                </c:pt>
                <c:pt idx="60">
                  <c:v>39.383282208993904</c:v>
                </c:pt>
                <c:pt idx="61">
                  <c:v>43.481892409705473</c:v>
                </c:pt>
                <c:pt idx="62">
                  <c:v>47.609259416831584</c:v>
                </c:pt>
                <c:pt idx="63">
                  <c:v>51.761221570436597</c:v>
                </c:pt>
                <c:pt idx="64">
                  <c:v>55.933720945025662</c:v>
                </c:pt>
                <c:pt idx="65">
                  <c:v>60.1226062886712</c:v>
                </c:pt>
                <c:pt idx="66">
                  <c:v>64.323293036645964</c:v>
                </c:pt>
                <c:pt idx="67">
                  <c:v>68.530076332357297</c:v>
                </c:pt>
                <c:pt idx="68">
                  <c:v>72.734499251122429</c:v>
                </c:pt>
                <c:pt idx="69">
                  <c:v>76.920664578059146</c:v>
                </c:pt>
                <c:pt idx="70">
                  <c:v>81.047697060490719</c:v>
                </c:pt>
                <c:pt idx="71">
                  <c:v>84.948975016583219</c:v>
                </c:pt>
                <c:pt idx="72">
                  <c:v>87.300000000000054</c:v>
                </c:pt>
              </c:numCache>
            </c:numRef>
          </c:yVal>
          <c:smooth val="1"/>
          <c:extLst>
            <c:ext xmlns:c16="http://schemas.microsoft.com/office/drawing/2014/chart" uri="{C3380CC4-5D6E-409C-BE32-E72D297353CC}">
              <c16:uniqueId val="{00000002-B10B-D246-8D66-0DDD32323B74}"/>
            </c:ext>
          </c:extLst>
        </c:ser>
        <c:ser>
          <c:idx val="3"/>
          <c:order val="3"/>
          <c:tx>
            <c:v>Horizon</c:v>
          </c:tx>
          <c:spPr>
            <a:ln w="19050" cap="rnd">
              <a:solidFill>
                <a:schemeClr val="tx1"/>
              </a:solidFill>
              <a:prstDash val="dash"/>
              <a:round/>
            </a:ln>
            <a:effectLst/>
          </c:spPr>
          <c:marker>
            <c:symbol val="none"/>
          </c:marker>
          <c:xVal>
            <c:numRef>
              <c:f>'RA-Dec'!$Y$5:$Y$77</c:f>
              <c:numCache>
                <c:formatCode>0.00</c:formatCode>
                <c:ptCount val="73"/>
                <c:pt idx="0">
                  <c:v>22.646162054247004</c:v>
                </c:pt>
                <c:pt idx="1">
                  <c:v>22.032905715212237</c:v>
                </c:pt>
                <c:pt idx="2">
                  <c:v>21.441097545732667</c:v>
                </c:pt>
                <c:pt idx="3">
                  <c:v>20.887458070004715</c:v>
                </c:pt>
                <c:pt idx="4">
                  <c:v>20.3815685490164</c:v>
                </c:pt>
                <c:pt idx="5">
                  <c:v>19.926223953337558</c:v>
                </c:pt>
                <c:pt idx="6">
                  <c:v>19.519373674854123</c:v>
                </c:pt>
                <c:pt idx="7">
                  <c:v>19.156277759685992</c:v>
                </c:pt>
                <c:pt idx="8">
                  <c:v>18.831147736208603</c:v>
                </c:pt>
                <c:pt idx="9">
                  <c:v>18.53814244848714</c:v>
                </c:pt>
                <c:pt idx="10">
                  <c:v>18.271863474733596</c:v>
                </c:pt>
                <c:pt idx="11">
                  <c:v>18.02753840476062</c:v>
                </c:pt>
                <c:pt idx="12">
                  <c:v>17.801036222999215</c:v>
                </c:pt>
                <c:pt idx="13">
                  <c:v>17.588804480733184</c:v>
                </c:pt>
                <c:pt idx="14">
                  <c:v>17.387777345591509</c:v>
                </c:pt>
                <c:pt idx="15">
                  <c:v>17.195278601227201</c:v>
                </c:pt>
                <c:pt idx="16">
                  <c:v>17.008929778875775</c:v>
                </c:pt>
                <c:pt idx="17">
                  <c:v>16.826566427902971</c:v>
                </c:pt>
                <c:pt idx="18">
                  <c:v>16.646162054247004</c:v>
                </c:pt>
                <c:pt idx="19">
                  <c:v>16.465757680591036</c:v>
                </c:pt>
                <c:pt idx="20">
                  <c:v>16.283394329618236</c:v>
                </c:pt>
                <c:pt idx="21">
                  <c:v>16.097045507266806</c:v>
                </c:pt>
                <c:pt idx="22">
                  <c:v>15.904546762902502</c:v>
                </c:pt>
                <c:pt idx="23">
                  <c:v>15.703519627760825</c:v>
                </c:pt>
                <c:pt idx="24">
                  <c:v>15.491287885494796</c:v>
                </c:pt>
                <c:pt idx="25">
                  <c:v>15.26478570373339</c:v>
                </c:pt>
                <c:pt idx="26">
                  <c:v>15.020460633760415</c:v>
                </c:pt>
                <c:pt idx="27">
                  <c:v>14.754181660006866</c:v>
                </c:pt>
                <c:pt idx="28">
                  <c:v>14.461176372285408</c:v>
                </c:pt>
                <c:pt idx="29">
                  <c:v>14.136046348808016</c:v>
                </c:pt>
                <c:pt idx="30">
                  <c:v>13.772950433639886</c:v>
                </c:pt>
                <c:pt idx="31">
                  <c:v>13.366100155156447</c:v>
                </c:pt>
                <c:pt idx="32">
                  <c:v>12.910755559477613</c:v>
                </c:pt>
                <c:pt idx="33">
                  <c:v>12.404866038489295</c:v>
                </c:pt>
                <c:pt idx="34">
                  <c:v>11.851226562761338</c:v>
                </c:pt>
                <c:pt idx="35">
                  <c:v>11.25941839328177</c:v>
                </c:pt>
                <c:pt idx="36">
                  <c:v>10.646162054247005</c:v>
                </c:pt>
                <c:pt idx="37">
                  <c:v>10.032905715212241</c:v>
                </c:pt>
                <c:pt idx="38">
                  <c:v>9.4410975457326689</c:v>
                </c:pt>
                <c:pt idx="39">
                  <c:v>8.8874580700047172</c:v>
                </c:pt>
                <c:pt idx="40">
                  <c:v>8.3815685490164</c:v>
                </c:pt>
                <c:pt idx="41">
                  <c:v>7.9262239533375611</c:v>
                </c:pt>
                <c:pt idx="42">
                  <c:v>7.5193736748541227</c:v>
                </c:pt>
                <c:pt idx="43">
                  <c:v>7.1562777596859926</c:v>
                </c:pt>
                <c:pt idx="44">
                  <c:v>6.8311477362086004</c:v>
                </c:pt>
                <c:pt idx="45">
                  <c:v>6.5381424484871422</c:v>
                </c:pt>
                <c:pt idx="46">
                  <c:v>6.2718634747335971</c:v>
                </c:pt>
                <c:pt idx="47">
                  <c:v>6.0275384047606222</c:v>
                </c:pt>
                <c:pt idx="48">
                  <c:v>5.8010362229992163</c:v>
                </c:pt>
                <c:pt idx="49">
                  <c:v>5.5888044807331836</c:v>
                </c:pt>
                <c:pt idx="50">
                  <c:v>5.3877773455915072</c:v>
                </c:pt>
                <c:pt idx="51">
                  <c:v>5.1952786012272032</c:v>
                </c:pt>
                <c:pt idx="52">
                  <c:v>5.008929778875773</c:v>
                </c:pt>
                <c:pt idx="53">
                  <c:v>4.8265664279029732</c:v>
                </c:pt>
                <c:pt idx="54">
                  <c:v>4.6461620542470046</c:v>
                </c:pt>
                <c:pt idx="55">
                  <c:v>4.4657576805910377</c:v>
                </c:pt>
                <c:pt idx="56">
                  <c:v>4.283394329618238</c:v>
                </c:pt>
                <c:pt idx="57">
                  <c:v>4.0970455072668086</c:v>
                </c:pt>
                <c:pt idx="58">
                  <c:v>3.904546762902501</c:v>
                </c:pt>
                <c:pt idx="59">
                  <c:v>3.7035196277608264</c:v>
                </c:pt>
                <c:pt idx="60">
                  <c:v>3.4912878854947942</c:v>
                </c:pt>
                <c:pt idx="61">
                  <c:v>3.2647857037333892</c:v>
                </c:pt>
                <c:pt idx="62">
                  <c:v>3.0204606337604134</c:v>
                </c:pt>
                <c:pt idx="63">
                  <c:v>2.7541816600068669</c:v>
                </c:pt>
                <c:pt idx="64">
                  <c:v>2.4611763722854096</c:v>
                </c:pt>
                <c:pt idx="65">
                  <c:v>2.1360463488080188</c:v>
                </c:pt>
                <c:pt idx="66">
                  <c:v>1.7729504336398898</c:v>
                </c:pt>
                <c:pt idx="67">
                  <c:v>1.3661001551564482</c:v>
                </c:pt>
                <c:pt idx="68">
                  <c:v>0.91075555947761011</c:v>
                </c:pt>
                <c:pt idx="69">
                  <c:v>0.40486603848929309</c:v>
                </c:pt>
                <c:pt idx="70">
                  <c:v>#N/A</c:v>
                </c:pt>
                <c:pt idx="71">
                  <c:v>23.25941839328177</c:v>
                </c:pt>
                <c:pt idx="72">
                  <c:v>22.646162054247004</c:v>
                </c:pt>
              </c:numCache>
            </c:numRef>
          </c:xVal>
          <c:yVal>
            <c:numRef>
              <c:f>'RA-Dec'!$Z$5:$Z$77</c:f>
              <c:numCache>
                <c:formatCode>0.0</c:formatCode>
                <c:ptCount val="73"/>
                <c:pt idx="0">
                  <c:v>57.3</c:v>
                </c:pt>
                <c:pt idx="1">
                  <c:v>56.961938429456659</c:v>
                </c:pt>
                <c:pt idx="2">
                  <c:v>55.968124005763983</c:v>
                </c:pt>
                <c:pt idx="3">
                  <c:v>54.374047122650516</c:v>
                </c:pt>
                <c:pt idx="4">
                  <c:v>52.256729285981812</c:v>
                </c:pt>
                <c:pt idx="5">
                  <c:v>49.699950822730514</c:v>
                </c:pt>
                <c:pt idx="6">
                  <c:v>46.78335381826129</c:v>
                </c:pt>
                <c:pt idx="7">
                  <c:v>43.576722427269502</c:v>
                </c:pt>
                <c:pt idx="8">
                  <c:v>40.138288931701339</c:v>
                </c:pt>
                <c:pt idx="9">
                  <c:v>36.515339679802814</c:v>
                </c:pt>
                <c:pt idx="10">
                  <c:v>32.745792201221839</c:v>
                </c:pt>
                <c:pt idx="11">
                  <c:v>28.859979030410841</c:v>
                </c:pt>
                <c:pt idx="12">
                  <c:v>24.882287665203343</c:v>
                </c:pt>
                <c:pt idx="13">
                  <c:v>20.832540190969628</c:v>
                </c:pt>
                <c:pt idx="14">
                  <c:v>16.727106917763027</c:v>
                </c:pt>
                <c:pt idx="15">
                  <c:v>12.579791486979419</c:v>
                </c:pt>
                <c:pt idx="16">
                  <c:v>8.4025359204162857</c:v>
                </c:pt>
                <c:pt idx="17">
                  <c:v>4.2059920705035818</c:v>
                </c:pt>
                <c:pt idx="18">
                  <c:v>4.849658671185995E-15</c:v>
                </c:pt>
                <c:pt idx="19">
                  <c:v>-4.2059920705035836</c:v>
                </c:pt>
                <c:pt idx="20">
                  <c:v>-8.4025359204162768</c:v>
                </c:pt>
                <c:pt idx="21">
                  <c:v>-12.579791486979422</c:v>
                </c:pt>
                <c:pt idx="22">
                  <c:v>-16.727106917763017</c:v>
                </c:pt>
                <c:pt idx="23">
                  <c:v>-20.832540190969613</c:v>
                </c:pt>
                <c:pt idx="24">
                  <c:v>-24.882287665203322</c:v>
                </c:pt>
                <c:pt idx="25">
                  <c:v>-28.859979030410841</c:v>
                </c:pt>
                <c:pt idx="26">
                  <c:v>-32.745792201221839</c:v>
                </c:pt>
                <c:pt idx="27">
                  <c:v>-36.5153396798028</c:v>
                </c:pt>
                <c:pt idx="28">
                  <c:v>-40.138288931701339</c:v>
                </c:pt>
                <c:pt idx="29">
                  <c:v>-43.576722427269516</c:v>
                </c:pt>
                <c:pt idx="30">
                  <c:v>-46.783353818261297</c:v>
                </c:pt>
                <c:pt idx="31">
                  <c:v>-49.699950822730507</c:v>
                </c:pt>
                <c:pt idx="32">
                  <c:v>-52.256729285981791</c:v>
                </c:pt>
                <c:pt idx="33">
                  <c:v>-54.374047122650509</c:v>
                </c:pt>
                <c:pt idx="34">
                  <c:v>-55.968124005763983</c:v>
                </c:pt>
                <c:pt idx="35">
                  <c:v>-56.961938429456666</c:v>
                </c:pt>
                <c:pt idx="36">
                  <c:v>-57.300000000000011</c:v>
                </c:pt>
                <c:pt idx="37">
                  <c:v>-56.961938429456666</c:v>
                </c:pt>
                <c:pt idx="38">
                  <c:v>-55.968124005763983</c:v>
                </c:pt>
                <c:pt idx="39">
                  <c:v>-54.374047122650516</c:v>
                </c:pt>
                <c:pt idx="40">
                  <c:v>-52.256729285981812</c:v>
                </c:pt>
                <c:pt idx="41">
                  <c:v>-49.699950822730528</c:v>
                </c:pt>
                <c:pt idx="42">
                  <c:v>-46.783353818261276</c:v>
                </c:pt>
                <c:pt idx="43">
                  <c:v>-43.576722427269502</c:v>
                </c:pt>
                <c:pt idx="44">
                  <c:v>-40.138288931701339</c:v>
                </c:pt>
                <c:pt idx="45">
                  <c:v>-36.515339679802821</c:v>
                </c:pt>
                <c:pt idx="46">
                  <c:v>-32.745792201221839</c:v>
                </c:pt>
                <c:pt idx="47">
                  <c:v>-28.859979030410848</c:v>
                </c:pt>
                <c:pt idx="48">
                  <c:v>-24.882287665203357</c:v>
                </c:pt>
                <c:pt idx="49">
                  <c:v>-20.832540190969603</c:v>
                </c:pt>
                <c:pt idx="50">
                  <c:v>-16.72710691776301</c:v>
                </c:pt>
                <c:pt idx="51">
                  <c:v>-12.579791486979412</c:v>
                </c:pt>
                <c:pt idx="52">
                  <c:v>-8.4025359204162786</c:v>
                </c:pt>
                <c:pt idx="53">
                  <c:v>-4.2059920705035836</c:v>
                </c:pt>
                <c:pt idx="54">
                  <c:v>-6.9644518539332631E-15</c:v>
                </c:pt>
                <c:pt idx="55">
                  <c:v>4.2059920705035703</c:v>
                </c:pt>
                <c:pt idx="56">
                  <c:v>8.4025359204162644</c:v>
                </c:pt>
                <c:pt idx="57">
                  <c:v>12.579791486979399</c:v>
                </c:pt>
                <c:pt idx="58">
                  <c:v>16.727106917763038</c:v>
                </c:pt>
                <c:pt idx="59">
                  <c:v>20.832540190969631</c:v>
                </c:pt>
                <c:pt idx="60">
                  <c:v>24.882287665203343</c:v>
                </c:pt>
                <c:pt idx="61">
                  <c:v>28.859979030410841</c:v>
                </c:pt>
                <c:pt idx="62">
                  <c:v>32.745792201221825</c:v>
                </c:pt>
                <c:pt idx="63">
                  <c:v>36.5153396798028</c:v>
                </c:pt>
                <c:pt idx="64">
                  <c:v>40.138288931701332</c:v>
                </c:pt>
                <c:pt idx="65">
                  <c:v>43.576722427269488</c:v>
                </c:pt>
                <c:pt idx="66">
                  <c:v>46.783353818261261</c:v>
                </c:pt>
                <c:pt idx="67">
                  <c:v>49.699950822730528</c:v>
                </c:pt>
                <c:pt idx="68">
                  <c:v>52.256729285981812</c:v>
                </c:pt>
                <c:pt idx="69">
                  <c:v>54.374047122650516</c:v>
                </c:pt>
                <c:pt idx="70">
                  <c:v>55.968124005763983</c:v>
                </c:pt>
                <c:pt idx="71">
                  <c:v>56.961938429456659</c:v>
                </c:pt>
                <c:pt idx="72">
                  <c:v>57.3</c:v>
                </c:pt>
              </c:numCache>
            </c:numRef>
          </c:yVal>
          <c:smooth val="1"/>
          <c:extLst>
            <c:ext xmlns:c16="http://schemas.microsoft.com/office/drawing/2014/chart" uri="{C3380CC4-5D6E-409C-BE32-E72D297353CC}">
              <c16:uniqueId val="{00000003-B10B-D246-8D66-0DDD32323B74}"/>
            </c:ext>
          </c:extLst>
        </c:ser>
        <c:ser>
          <c:idx val="4"/>
          <c:order val="4"/>
          <c:tx>
            <c:v>Date</c:v>
          </c:tx>
          <c:spPr>
            <a:ln w="19050" cap="rnd">
              <a:solidFill>
                <a:schemeClr val="accent5"/>
              </a:solid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1" i="0" u="none" strike="noStrike" kern="1200" baseline="0">
                        <a:solidFill>
                          <a:schemeClr val="bg1">
                            <a:lumMod val="50000"/>
                          </a:schemeClr>
                        </a:solidFill>
                        <a:latin typeface="+mn-lt"/>
                        <a:ea typeface="+mn-ea"/>
                        <a:cs typeface="+mn-cs"/>
                      </a:defRPr>
                    </a:pPr>
                    <a:fld id="{7EFD892F-939C-CD45-8FC4-43176222901C}" type="CELLRANGE">
                      <a:rPr lang="en-US"/>
                      <a:pPr>
                        <a:defRPr sz="1600" b="1">
                          <a:solidFill>
                            <a:schemeClr val="bg1">
                              <a:lumMod val="50000"/>
                            </a:schemeClr>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lumMod val="50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10B-D246-8D66-0DDD32323B74}"/>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Calcs!$S$20</c:f>
              <c:numCache>
                <c:formatCode>General</c:formatCode>
                <c:ptCount val="1"/>
                <c:pt idx="0">
                  <c:v>2</c:v>
                </c:pt>
              </c:numCache>
            </c:numRef>
          </c:xVal>
          <c:yVal>
            <c:numRef>
              <c:f>Calcs!$T$20</c:f>
              <c:numCache>
                <c:formatCode>General</c:formatCode>
                <c:ptCount val="1"/>
                <c:pt idx="0">
                  <c:v>90</c:v>
                </c:pt>
              </c:numCache>
            </c:numRef>
          </c:yVal>
          <c:smooth val="1"/>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5-B10B-D246-8D66-0DDD32323B74}"/>
            </c:ext>
          </c:extLst>
        </c:ser>
        <c:ser>
          <c:idx val="5"/>
          <c:order val="5"/>
          <c:tx>
            <c:v>UT Time</c:v>
          </c:tx>
          <c:spPr>
            <a:ln w="19050" cap="rnd">
              <a:solidFill>
                <a:schemeClr val="accent6"/>
              </a:solidFill>
              <a:round/>
            </a:ln>
            <a:effectLst/>
          </c:spPr>
          <c:marker>
            <c:symbol val="none"/>
          </c:marker>
          <c:dLbls>
            <c:dLbl>
              <c:idx val="0"/>
              <c:tx>
                <c:rich>
                  <a:bodyPr/>
                  <a:lstStyle/>
                  <a:p>
                    <a:fld id="{23566A36-B122-1846-8C1F-780A366BA69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10B-D246-8D66-0DDD32323B74}"/>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lumMod val="50000"/>
                      </a:schemeClr>
                    </a:solidFill>
                    <a:latin typeface="+mn-lt"/>
                    <a:ea typeface="+mn-ea"/>
                    <a:cs typeface="Times New Roman" panose="02020603050405020304" pitchFamily="18" charset="0"/>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'RA-Dec'!$B$28</c:f>
              <c:numCache>
                <c:formatCode>General</c:formatCode>
                <c:ptCount val="1"/>
                <c:pt idx="0">
                  <c:v>21</c:v>
                </c:pt>
              </c:numCache>
            </c:numRef>
          </c:xVal>
          <c:yVal>
            <c:numRef>
              <c:f>'RA-Dec'!$C$28</c:f>
              <c:numCache>
                <c:formatCode>General</c:formatCode>
                <c:ptCount val="1"/>
                <c:pt idx="0">
                  <c:v>90</c:v>
                </c:pt>
              </c:numCache>
            </c:numRef>
          </c:yVal>
          <c:smooth val="1"/>
          <c:extLst>
            <c:ext xmlns:c15="http://schemas.microsoft.com/office/drawing/2012/chart" uri="{02D57815-91ED-43cb-92C2-25804820EDAC}">
              <c15:datalabelsRange>
                <c15:f>'RA-Dec'!$A$28</c15:f>
                <c15:dlblRangeCache>
                  <c:ptCount val="1"/>
                  <c:pt idx="0">
                    <c:v>UT = 7.5</c:v>
                  </c:pt>
                </c15:dlblRangeCache>
              </c15:datalabelsRange>
            </c:ext>
            <c:ext xmlns:c16="http://schemas.microsoft.com/office/drawing/2014/chart" uri="{C3380CC4-5D6E-409C-BE32-E72D297353CC}">
              <c16:uniqueId val="{00000007-B10B-D246-8D66-0DDD32323B74}"/>
            </c:ext>
          </c:extLst>
        </c:ser>
        <c:ser>
          <c:idx val="6"/>
          <c:order val="6"/>
          <c:tx>
            <c:v>Axis</c:v>
          </c:tx>
          <c:spPr>
            <a:ln w="9525" cap="rnd">
              <a:solidFill>
                <a:schemeClr val="bg1">
                  <a:lumMod val="50000"/>
                </a:schemeClr>
              </a:solidFill>
              <a:round/>
            </a:ln>
            <a:effectLst/>
          </c:spPr>
          <c:marker>
            <c:symbol val="none"/>
          </c:marker>
          <c:xVal>
            <c:numRef>
              <c:f>'RA-Dec'!$B$29:$B$30</c:f>
              <c:numCache>
                <c:formatCode>General</c:formatCode>
                <c:ptCount val="2"/>
                <c:pt idx="0">
                  <c:v>0</c:v>
                </c:pt>
                <c:pt idx="1">
                  <c:v>24</c:v>
                </c:pt>
              </c:numCache>
            </c:numRef>
          </c:xVal>
          <c:yVal>
            <c:numRef>
              <c:f>'RA-Dec'!$C$29:$C$30</c:f>
              <c:numCache>
                <c:formatCode>General</c:formatCode>
                <c:ptCount val="2"/>
                <c:pt idx="0">
                  <c:v>0</c:v>
                </c:pt>
                <c:pt idx="1">
                  <c:v>0</c:v>
                </c:pt>
              </c:numCache>
            </c:numRef>
          </c:yVal>
          <c:smooth val="1"/>
          <c:extLst>
            <c:ext xmlns:c16="http://schemas.microsoft.com/office/drawing/2014/chart" uri="{C3380CC4-5D6E-409C-BE32-E72D297353CC}">
              <c16:uniqueId val="{00000009-B10B-D246-8D66-0DDD32323B74}"/>
            </c:ext>
          </c:extLst>
        </c:ser>
        <c:ser>
          <c:idx val="7"/>
          <c:order val="7"/>
          <c:tx>
            <c:v>targets</c:v>
          </c:tx>
          <c:spPr>
            <a:ln w="19050" cap="rnd">
              <a:noFill/>
              <a:round/>
            </a:ln>
            <a:effectLst/>
          </c:spPr>
          <c:marker>
            <c:symbol val="none"/>
          </c:marker>
          <c:dLbls>
            <c:dLbl>
              <c:idx val="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B10B-D246-8D66-0DDD32323B74}"/>
                </c:ext>
              </c:extLst>
            </c:dLbl>
            <c:dLbl>
              <c:idx val="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B10B-D246-8D66-0DDD32323B74}"/>
                </c:ext>
              </c:extLst>
            </c:dLbl>
            <c:dLbl>
              <c:idx val="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B10B-D246-8D66-0DDD32323B74}"/>
                </c:ext>
              </c:extLst>
            </c:dLbl>
            <c:dLbl>
              <c:idx val="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B10B-D246-8D66-0DDD32323B74}"/>
                </c:ext>
              </c:extLst>
            </c:dLbl>
            <c:dLbl>
              <c:idx val="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B10B-D246-8D66-0DDD32323B74}"/>
                </c:ext>
              </c:extLst>
            </c:dLbl>
            <c:dLbl>
              <c:idx val="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B10B-D246-8D66-0DDD32323B74}"/>
                </c:ext>
              </c:extLst>
            </c:dLbl>
            <c:dLbl>
              <c:idx val="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B10B-D246-8D66-0DDD32323B74}"/>
                </c:ext>
              </c:extLst>
            </c:dLbl>
            <c:dLbl>
              <c:idx val="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B10B-D246-8D66-0DDD32323B74}"/>
                </c:ext>
              </c:extLst>
            </c:dLbl>
            <c:dLbl>
              <c:idx val="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B10B-D246-8D66-0DDD32323B74}"/>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B10B-D246-8D66-0DDD32323B74}"/>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B10B-D246-8D66-0DDD32323B74}"/>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B10B-D246-8D66-0DDD32323B74}"/>
                </c:ext>
              </c:extLst>
            </c:dLbl>
            <c:dLbl>
              <c:idx val="1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B10B-D246-8D66-0DDD32323B74}"/>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B10B-D246-8D66-0DDD32323B74}"/>
                </c:ext>
              </c:extLst>
            </c:dLbl>
            <c:dLbl>
              <c:idx val="1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B10B-D246-8D66-0DDD32323B74}"/>
                </c:ext>
              </c:extLst>
            </c:dLbl>
            <c:dLbl>
              <c:idx val="1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B10B-D246-8D66-0DDD32323B74}"/>
                </c:ext>
              </c:extLst>
            </c:dLbl>
            <c:dLbl>
              <c:idx val="1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B10B-D246-8D66-0DDD32323B74}"/>
                </c:ext>
              </c:extLst>
            </c:dLbl>
            <c:dLbl>
              <c:idx val="1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B10B-D246-8D66-0DDD32323B74}"/>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B10B-D246-8D66-0DDD32323B74}"/>
                </c:ext>
              </c:extLst>
            </c:dLbl>
            <c:dLbl>
              <c:idx val="1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B10B-D246-8D66-0DDD32323B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'RA-Dec'!$AC$4:$AC$23</c:f>
              <c:numCache>
                <c:formatCode>0.00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xVal>
          <c:yVal>
            <c:numRef>
              <c:f>'RA-Dec'!$AD$4:$AD$23</c:f>
              <c:numCache>
                <c:formatCode>0.00</c:formatCod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1"/>
          <c:extLst>
            <c:ext xmlns:c15="http://schemas.microsoft.com/office/drawing/2012/chart" uri="{02D57815-91ED-43cb-92C2-25804820EDAC}">
              <c15:datalabelsRange>
                <c15:f>'RA-Dec'!$AE$4:$AE$23</c15:f>
                <c15:dlblRangeCache>
                  <c:ptCount val="2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15:dlblRangeCache>
              </c15:datalabelsRange>
            </c:ext>
            <c:ext xmlns:c16="http://schemas.microsoft.com/office/drawing/2014/chart" uri="{C3380CC4-5D6E-409C-BE32-E72D297353CC}">
              <c16:uniqueId val="{0000000A-B10B-D246-8D66-0DDD32323B74}"/>
            </c:ext>
          </c:extLst>
        </c:ser>
        <c:ser>
          <c:idx val="8"/>
          <c:order val="8"/>
          <c:tx>
            <c:v>Moon</c:v>
          </c:tx>
          <c:spPr>
            <a:ln w="19050" cap="rnd">
              <a:solidFill>
                <a:schemeClr val="accent3">
                  <a:lumMod val="60000"/>
                </a:schemeClr>
              </a:solidFill>
              <a:round/>
            </a:ln>
            <a:effectLst/>
          </c:spPr>
          <c:marker>
            <c:symbol val="none"/>
          </c:marker>
          <c:dLbls>
            <c:dLbl>
              <c:idx val="0"/>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fld id="{DD83397C-5702-034C-8999-ECDCB8771052}" type="CELLRANGE">
                      <a:rPr lang="en-US"/>
                      <a:pPr>
                        <a:defRPr sz="1200" b="1"/>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B10B-D246-8D66-0DDD32323B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'RA-Dec'!$B$31</c:f>
              <c:numCache>
                <c:formatCode>0.00</c:formatCode>
                <c:ptCount val="1"/>
                <c:pt idx="0">
                  <c:v>22.134318203214686</c:v>
                </c:pt>
              </c:numCache>
            </c:numRef>
          </c:xVal>
          <c:yVal>
            <c:numRef>
              <c:f>'RA-Dec'!$C$31</c:f>
              <c:numCache>
                <c:formatCode>0.00</c:formatCode>
                <c:ptCount val="1"/>
                <c:pt idx="0">
                  <c:v>-14.194363779631127</c:v>
                </c:pt>
              </c:numCache>
            </c:numRef>
          </c:yVal>
          <c:smooth val="1"/>
          <c:extLst>
            <c:ext xmlns:c15="http://schemas.microsoft.com/office/drawing/2012/chart" uri="{02D57815-91ED-43cb-92C2-25804820EDAC}">
              <c15:datalabelsRange>
                <c15:f>'RA-Dec'!$A$31</c15:f>
                <c15:dlblRangeCache>
                  <c:ptCount val="1"/>
                  <c:pt idx="0">
                    <c:v>Moon</c:v>
                  </c:pt>
                </c15:dlblRangeCache>
              </c15:datalabelsRange>
            </c:ext>
            <c:ext xmlns:c16="http://schemas.microsoft.com/office/drawing/2014/chart" uri="{C3380CC4-5D6E-409C-BE32-E72D297353CC}">
              <c16:uniqueId val="{00000020-B10B-D246-8D66-0DDD32323B74}"/>
            </c:ext>
          </c:extLst>
        </c:ser>
        <c:dLbls>
          <c:showLegendKey val="0"/>
          <c:showVal val="0"/>
          <c:showCatName val="0"/>
          <c:showSerName val="0"/>
          <c:showPercent val="0"/>
          <c:showBubbleSize val="0"/>
        </c:dLbls>
        <c:axId val="476430784"/>
        <c:axId val="476406816"/>
      </c:scatterChart>
      <c:valAx>
        <c:axId val="476430784"/>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RA (hours)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76406816"/>
        <c:crosses val="autoZero"/>
        <c:crossBetween val="midCat"/>
        <c:majorUnit val="1"/>
      </c:valAx>
      <c:valAx>
        <c:axId val="476406816"/>
        <c:scaling>
          <c:orientation val="minMax"/>
          <c:max val="90"/>
          <c:min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Dec (degrees)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76430784"/>
        <c:crosses val="autoZero"/>
        <c:crossBetween val="midCat"/>
        <c:majorUnit val="10"/>
      </c:valAx>
      <c:spPr>
        <a:solidFill>
          <a:schemeClr val="lt1"/>
        </a:solidFill>
        <a:ln w="15875">
          <a:solidFill>
            <a:schemeClr val="tx1"/>
          </a:solidFill>
        </a:ln>
        <a:effectLst/>
      </c:spPr>
    </c:plotArea>
    <c:legend>
      <c:legendPos val="r"/>
      <c:legendEntry>
        <c:idx val="0"/>
        <c:delete val="1"/>
      </c:legendEntry>
      <c:legendEntry>
        <c:idx val="4"/>
        <c:delete val="1"/>
      </c:legendEntry>
      <c:legendEntry>
        <c:idx val="5"/>
        <c:delete val="1"/>
      </c:legendEntry>
      <c:legendEntry>
        <c:idx val="6"/>
        <c:delete val="1"/>
      </c:legendEntry>
      <c:legendEntry>
        <c:idx val="7"/>
        <c:delete val="1"/>
      </c:legendEntry>
      <c:legendEntry>
        <c:idx val="8"/>
        <c:delete val="1"/>
      </c:legendEntry>
      <c:layout>
        <c:manualLayout>
          <c:xMode val="edge"/>
          <c:yMode val="edge"/>
          <c:x val="0.44846871788973119"/>
          <c:y val="0.71356886439753942"/>
          <c:w val="0.10747100330279247"/>
          <c:h val="0.15613431954344958"/>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Altitude &amp; Parallactic Angle vs UT</a:t>
            </a:r>
          </a:p>
        </c:rich>
      </c:tx>
      <c:layout>
        <c:manualLayout>
          <c:xMode val="edge"/>
          <c:yMode val="edge"/>
          <c:x val="0.3243327430099226"/>
          <c:y val="3.3409816656599908E-2"/>
        </c:manualLayout>
      </c:layout>
      <c:overlay val="0"/>
      <c:spPr>
        <a:noFill/>
        <a:ln>
          <a:noFill/>
        </a:ln>
        <a:effectLst/>
      </c:spPr>
    </c:title>
    <c:autoTitleDeleted val="0"/>
    <c:plotArea>
      <c:layout>
        <c:manualLayout>
          <c:layoutTarget val="inner"/>
          <c:xMode val="edge"/>
          <c:yMode val="edge"/>
          <c:x val="8.7116461002274048E-2"/>
          <c:y val="0.10759288693750423"/>
          <c:w val="0.84110378486616244"/>
          <c:h val="0.74823046335756027"/>
        </c:manualLayout>
      </c:layout>
      <c:scatterChart>
        <c:scatterStyle val="smoothMarker"/>
        <c:varyColors val="0"/>
        <c:ser>
          <c:idx val="0"/>
          <c:order val="0"/>
          <c:tx>
            <c:v>Altitude</c:v>
          </c:tx>
          <c:spPr>
            <a:ln w="12700">
              <a:solidFill>
                <a:srgbClr val="FF0000"/>
              </a:solidFill>
            </a:ln>
          </c:spPr>
          <c:marker>
            <c:symbol val="none"/>
          </c:marker>
          <c:xVal>
            <c:numRef>
              <c:f>AtmDisp!$P$6:$P$166</c:f>
              <c:numCache>
                <c:formatCode>0.00</c:formatCode>
                <c:ptCount val="161"/>
                <c:pt idx="0">
                  <c:v>-1</c:v>
                </c:pt>
                <c:pt idx="1">
                  <c:v>-0.9</c:v>
                </c:pt>
                <c:pt idx="2">
                  <c:v>-0.8</c:v>
                </c:pt>
                <c:pt idx="3">
                  <c:v>-0.70000000000000007</c:v>
                </c:pt>
                <c:pt idx="4">
                  <c:v>-0.60000000000000009</c:v>
                </c:pt>
                <c:pt idx="5">
                  <c:v>-0.50000000000000011</c:v>
                </c:pt>
                <c:pt idx="6">
                  <c:v>-0.40000000000000013</c:v>
                </c:pt>
                <c:pt idx="7">
                  <c:v>-0.30000000000000016</c:v>
                </c:pt>
                <c:pt idx="8">
                  <c:v>-0.20000000000000015</c:v>
                </c:pt>
                <c:pt idx="9">
                  <c:v>-0.10000000000000014</c:v>
                </c:pt>
                <c:pt idx="10">
                  <c:v>-1.3877787807814457E-16</c:v>
                </c:pt>
                <c:pt idx="11">
                  <c:v>9.9999999999999867E-2</c:v>
                </c:pt>
                <c:pt idx="12">
                  <c:v>0.19999999999999987</c:v>
                </c:pt>
                <c:pt idx="13">
                  <c:v>0.29999999999999988</c:v>
                </c:pt>
                <c:pt idx="14">
                  <c:v>0.39999999999999991</c:v>
                </c:pt>
                <c:pt idx="15">
                  <c:v>0.49999999999999989</c:v>
                </c:pt>
                <c:pt idx="16">
                  <c:v>0.59999999999999987</c:v>
                </c:pt>
                <c:pt idx="17">
                  <c:v>0.69999999999999984</c:v>
                </c:pt>
                <c:pt idx="18">
                  <c:v>0.79999999999999982</c:v>
                </c:pt>
                <c:pt idx="19">
                  <c:v>0.8999999999999998</c:v>
                </c:pt>
                <c:pt idx="20">
                  <c:v>0.99999999999999978</c:v>
                </c:pt>
                <c:pt idx="21">
                  <c:v>1.0999999999999999</c:v>
                </c:pt>
                <c:pt idx="22">
                  <c:v>1.2</c:v>
                </c:pt>
                <c:pt idx="23">
                  <c:v>1.3</c:v>
                </c:pt>
                <c:pt idx="24">
                  <c:v>1.4000000000000001</c:v>
                </c:pt>
                <c:pt idx="25">
                  <c:v>1.5000000000000002</c:v>
                </c:pt>
                <c:pt idx="26">
                  <c:v>1.6000000000000003</c:v>
                </c:pt>
                <c:pt idx="27">
                  <c:v>1.7000000000000004</c:v>
                </c:pt>
                <c:pt idx="28">
                  <c:v>1.8000000000000005</c:v>
                </c:pt>
                <c:pt idx="29">
                  <c:v>1.9000000000000006</c:v>
                </c:pt>
                <c:pt idx="30">
                  <c:v>2.0000000000000004</c:v>
                </c:pt>
                <c:pt idx="31">
                  <c:v>2.1000000000000005</c:v>
                </c:pt>
                <c:pt idx="32">
                  <c:v>2.2000000000000006</c:v>
                </c:pt>
                <c:pt idx="33">
                  <c:v>2.3000000000000007</c:v>
                </c:pt>
                <c:pt idx="34">
                  <c:v>2.4000000000000008</c:v>
                </c:pt>
                <c:pt idx="35">
                  <c:v>2.5000000000000009</c:v>
                </c:pt>
                <c:pt idx="36">
                  <c:v>2.600000000000001</c:v>
                </c:pt>
                <c:pt idx="37">
                  <c:v>2.7000000000000011</c:v>
                </c:pt>
                <c:pt idx="38">
                  <c:v>2.8000000000000012</c:v>
                </c:pt>
                <c:pt idx="39">
                  <c:v>2.9000000000000012</c:v>
                </c:pt>
                <c:pt idx="40">
                  <c:v>3.0000000000000013</c:v>
                </c:pt>
                <c:pt idx="41">
                  <c:v>3.1000000000000014</c:v>
                </c:pt>
                <c:pt idx="42">
                  <c:v>3.2000000000000015</c:v>
                </c:pt>
                <c:pt idx="43">
                  <c:v>3.3000000000000016</c:v>
                </c:pt>
                <c:pt idx="44">
                  <c:v>3.4000000000000017</c:v>
                </c:pt>
                <c:pt idx="45">
                  <c:v>3.5000000000000018</c:v>
                </c:pt>
                <c:pt idx="46">
                  <c:v>3.6000000000000019</c:v>
                </c:pt>
                <c:pt idx="47">
                  <c:v>3.700000000000002</c:v>
                </c:pt>
                <c:pt idx="48">
                  <c:v>3.800000000000002</c:v>
                </c:pt>
                <c:pt idx="49">
                  <c:v>3.9000000000000021</c:v>
                </c:pt>
                <c:pt idx="50">
                  <c:v>4.0000000000000018</c:v>
                </c:pt>
                <c:pt idx="51">
                  <c:v>4.1000000000000014</c:v>
                </c:pt>
                <c:pt idx="52">
                  <c:v>4.2000000000000011</c:v>
                </c:pt>
                <c:pt idx="53">
                  <c:v>4.3000000000000007</c:v>
                </c:pt>
                <c:pt idx="54">
                  <c:v>4.4000000000000004</c:v>
                </c:pt>
                <c:pt idx="55">
                  <c:v>4.5</c:v>
                </c:pt>
                <c:pt idx="56">
                  <c:v>4.5999999999999996</c:v>
                </c:pt>
                <c:pt idx="57">
                  <c:v>4.6999999999999993</c:v>
                </c:pt>
                <c:pt idx="58">
                  <c:v>4.7999999999999989</c:v>
                </c:pt>
                <c:pt idx="59">
                  <c:v>4.8999999999999986</c:v>
                </c:pt>
                <c:pt idx="60">
                  <c:v>4.9999999999999982</c:v>
                </c:pt>
                <c:pt idx="61">
                  <c:v>5.0999999999999979</c:v>
                </c:pt>
                <c:pt idx="62">
                  <c:v>5.1999999999999975</c:v>
                </c:pt>
                <c:pt idx="63">
                  <c:v>5.2999999999999972</c:v>
                </c:pt>
                <c:pt idx="64">
                  <c:v>5.3999999999999968</c:v>
                </c:pt>
                <c:pt idx="65">
                  <c:v>5.4999999999999964</c:v>
                </c:pt>
                <c:pt idx="66">
                  <c:v>5.5999999999999961</c:v>
                </c:pt>
                <c:pt idx="67">
                  <c:v>5.6999999999999957</c:v>
                </c:pt>
                <c:pt idx="68">
                  <c:v>5.7999999999999954</c:v>
                </c:pt>
                <c:pt idx="69">
                  <c:v>5.899999999999995</c:v>
                </c:pt>
                <c:pt idx="70">
                  <c:v>5.9999999999999947</c:v>
                </c:pt>
                <c:pt idx="71">
                  <c:v>6.0999999999999943</c:v>
                </c:pt>
                <c:pt idx="72">
                  <c:v>6.199999999999994</c:v>
                </c:pt>
                <c:pt idx="73">
                  <c:v>6.2999999999999936</c:v>
                </c:pt>
                <c:pt idx="74">
                  <c:v>6.3999999999999932</c:v>
                </c:pt>
                <c:pt idx="75">
                  <c:v>6.4999999999999929</c:v>
                </c:pt>
                <c:pt idx="76">
                  <c:v>6.5999999999999925</c:v>
                </c:pt>
                <c:pt idx="77">
                  <c:v>6.6999999999999922</c:v>
                </c:pt>
                <c:pt idx="78">
                  <c:v>6.7999999999999918</c:v>
                </c:pt>
                <c:pt idx="79">
                  <c:v>6.8999999999999915</c:v>
                </c:pt>
                <c:pt idx="80">
                  <c:v>6.9999999999999911</c:v>
                </c:pt>
                <c:pt idx="81">
                  <c:v>7.0999999999999908</c:v>
                </c:pt>
                <c:pt idx="82">
                  <c:v>7.1999999999999904</c:v>
                </c:pt>
                <c:pt idx="83">
                  <c:v>7.2999999999999901</c:v>
                </c:pt>
                <c:pt idx="84">
                  <c:v>7.3999999999999897</c:v>
                </c:pt>
                <c:pt idx="85">
                  <c:v>7.4999999999999893</c:v>
                </c:pt>
                <c:pt idx="86">
                  <c:v>7.599999999999989</c:v>
                </c:pt>
                <c:pt idx="87">
                  <c:v>7.6999999999999886</c:v>
                </c:pt>
                <c:pt idx="88">
                  <c:v>7.7999999999999883</c:v>
                </c:pt>
                <c:pt idx="89">
                  <c:v>7.8999999999999879</c:v>
                </c:pt>
                <c:pt idx="90">
                  <c:v>7.9999999999999876</c:v>
                </c:pt>
                <c:pt idx="91">
                  <c:v>8.0999999999999872</c:v>
                </c:pt>
                <c:pt idx="92">
                  <c:v>8.1999999999999869</c:v>
                </c:pt>
                <c:pt idx="93">
                  <c:v>8.2999999999999865</c:v>
                </c:pt>
                <c:pt idx="94">
                  <c:v>8.3999999999999861</c:v>
                </c:pt>
                <c:pt idx="95">
                  <c:v>8.4999999999999858</c:v>
                </c:pt>
                <c:pt idx="96">
                  <c:v>8.5999999999999854</c:v>
                </c:pt>
                <c:pt idx="97">
                  <c:v>8.6999999999999851</c:v>
                </c:pt>
                <c:pt idx="98">
                  <c:v>8.7999999999999847</c:v>
                </c:pt>
                <c:pt idx="99">
                  <c:v>8.8999999999999844</c:v>
                </c:pt>
                <c:pt idx="100">
                  <c:v>8.999999999999984</c:v>
                </c:pt>
                <c:pt idx="101">
                  <c:v>9.0999999999999837</c:v>
                </c:pt>
                <c:pt idx="102">
                  <c:v>9.1999999999999833</c:v>
                </c:pt>
                <c:pt idx="103">
                  <c:v>9.2999999999999829</c:v>
                </c:pt>
                <c:pt idx="104">
                  <c:v>9.3999999999999826</c:v>
                </c:pt>
                <c:pt idx="105">
                  <c:v>9.4999999999999822</c:v>
                </c:pt>
                <c:pt idx="106">
                  <c:v>9.5999999999999819</c:v>
                </c:pt>
                <c:pt idx="107">
                  <c:v>9.6999999999999815</c:v>
                </c:pt>
                <c:pt idx="108">
                  <c:v>9.7999999999999812</c:v>
                </c:pt>
                <c:pt idx="109">
                  <c:v>9.8999999999999808</c:v>
                </c:pt>
                <c:pt idx="110">
                  <c:v>9.9999999999999805</c:v>
                </c:pt>
                <c:pt idx="111">
                  <c:v>10.09999999999998</c:v>
                </c:pt>
                <c:pt idx="112">
                  <c:v>10.19999999999998</c:v>
                </c:pt>
                <c:pt idx="113">
                  <c:v>10.299999999999979</c:v>
                </c:pt>
                <c:pt idx="114">
                  <c:v>10.399999999999979</c:v>
                </c:pt>
                <c:pt idx="115">
                  <c:v>10.499999999999979</c:v>
                </c:pt>
                <c:pt idx="116">
                  <c:v>10.599999999999978</c:v>
                </c:pt>
                <c:pt idx="117">
                  <c:v>10.699999999999978</c:v>
                </c:pt>
                <c:pt idx="118">
                  <c:v>10.799999999999978</c:v>
                </c:pt>
                <c:pt idx="119">
                  <c:v>10.899999999999977</c:v>
                </c:pt>
                <c:pt idx="120">
                  <c:v>10.999999999999977</c:v>
                </c:pt>
                <c:pt idx="121">
                  <c:v>11.099999999999977</c:v>
                </c:pt>
                <c:pt idx="122">
                  <c:v>11.199999999999976</c:v>
                </c:pt>
                <c:pt idx="123">
                  <c:v>11.299999999999976</c:v>
                </c:pt>
                <c:pt idx="124">
                  <c:v>11.399999999999975</c:v>
                </c:pt>
                <c:pt idx="125">
                  <c:v>11.499999999999975</c:v>
                </c:pt>
                <c:pt idx="126">
                  <c:v>11.599999999999975</c:v>
                </c:pt>
                <c:pt idx="127">
                  <c:v>11.699999999999974</c:v>
                </c:pt>
                <c:pt idx="128">
                  <c:v>11.799999999999974</c:v>
                </c:pt>
                <c:pt idx="129">
                  <c:v>11.899999999999974</c:v>
                </c:pt>
                <c:pt idx="130">
                  <c:v>11.999999999999973</c:v>
                </c:pt>
                <c:pt idx="131">
                  <c:v>12.099999999999973</c:v>
                </c:pt>
                <c:pt idx="132">
                  <c:v>12.199999999999973</c:v>
                </c:pt>
                <c:pt idx="133">
                  <c:v>12.299999999999972</c:v>
                </c:pt>
                <c:pt idx="134">
                  <c:v>12.399999999999972</c:v>
                </c:pt>
                <c:pt idx="135">
                  <c:v>12.499999999999972</c:v>
                </c:pt>
                <c:pt idx="136">
                  <c:v>12.599999999999971</c:v>
                </c:pt>
                <c:pt idx="137">
                  <c:v>12.699999999999971</c:v>
                </c:pt>
                <c:pt idx="138">
                  <c:v>12.799999999999971</c:v>
                </c:pt>
                <c:pt idx="139">
                  <c:v>12.89999999999997</c:v>
                </c:pt>
                <c:pt idx="140">
                  <c:v>12.99999999999997</c:v>
                </c:pt>
                <c:pt idx="141">
                  <c:v>13.099999999999969</c:v>
                </c:pt>
                <c:pt idx="142">
                  <c:v>13.199999999999969</c:v>
                </c:pt>
                <c:pt idx="143">
                  <c:v>13.299999999999969</c:v>
                </c:pt>
                <c:pt idx="144">
                  <c:v>13.399999999999968</c:v>
                </c:pt>
                <c:pt idx="145">
                  <c:v>13.499999999999968</c:v>
                </c:pt>
                <c:pt idx="146">
                  <c:v>13.599999999999968</c:v>
                </c:pt>
                <c:pt idx="147">
                  <c:v>13.699999999999967</c:v>
                </c:pt>
                <c:pt idx="148">
                  <c:v>13.799999999999967</c:v>
                </c:pt>
                <c:pt idx="149">
                  <c:v>13.899999999999967</c:v>
                </c:pt>
                <c:pt idx="150">
                  <c:v>13.999999999999966</c:v>
                </c:pt>
                <c:pt idx="151">
                  <c:v>14.099999999999966</c:v>
                </c:pt>
                <c:pt idx="152">
                  <c:v>14.199999999999966</c:v>
                </c:pt>
                <c:pt idx="153">
                  <c:v>14.299999999999965</c:v>
                </c:pt>
                <c:pt idx="154">
                  <c:v>14.399999999999965</c:v>
                </c:pt>
                <c:pt idx="155">
                  <c:v>14.499999999999964</c:v>
                </c:pt>
                <c:pt idx="156">
                  <c:v>14.599999999999964</c:v>
                </c:pt>
                <c:pt idx="157">
                  <c:v>14.699999999999964</c:v>
                </c:pt>
                <c:pt idx="158">
                  <c:v>14.799999999999963</c:v>
                </c:pt>
                <c:pt idx="159">
                  <c:v>14.899999999999963</c:v>
                </c:pt>
                <c:pt idx="160">
                  <c:v>14.999999999999963</c:v>
                </c:pt>
              </c:numCache>
            </c:numRef>
          </c:xVal>
          <c:yVal>
            <c:numRef>
              <c:f>AtmDisp!$R$6:$R$166</c:f>
              <c:numCache>
                <c:formatCode>0.0</c:formatCode>
                <c:ptCount val="161"/>
                <c:pt idx="0">
                  <c:v>9.7782261875369016</c:v>
                </c:pt>
                <c:pt idx="1">
                  <c:v>11.018846298557305</c:v>
                </c:pt>
                <c:pt idx="2">
                  <c:v>12.262469364713422</c:v>
                </c:pt>
                <c:pt idx="3">
                  <c:v>13.508867577906448</c:v>
                </c:pt>
                <c:pt idx="4">
                  <c:v>14.757816157701745</c:v>
                </c:pt>
                <c:pt idx="5">
                  <c:v>16.009092613396618</c:v>
                </c:pt>
                <c:pt idx="6">
                  <c:v>17.262475989959128</c:v>
                </c:pt>
                <c:pt idx="7">
                  <c:v>18.517746092311377</c:v>
                </c:pt>
                <c:pt idx="8">
                  <c:v>19.774682681876556</c:v>
                </c:pt>
                <c:pt idx="9">
                  <c:v>21.03306463866701</c:v>
                </c:pt>
                <c:pt idx="10">
                  <c:v>22.292669081441705</c:v>
                </c:pt>
                <c:pt idx="11">
                  <c:v>23.553270437590211</c:v>
                </c:pt>
                <c:pt idx="12">
                  <c:v>24.81463945338497</c:v>
                </c:pt>
                <c:pt idx="13">
                  <c:v>26.076542134057803</c:v>
                </c:pt>
                <c:pt idx="14">
                  <c:v>27.338738601774644</c:v>
                </c:pt>
                <c:pt idx="15">
                  <c:v>28.600981857965639</c:v>
                </c:pt>
                <c:pt idx="16">
                  <c:v>29.863016434581354</c:v>
                </c:pt>
                <c:pt idx="17">
                  <c:v>31.124576916636872</c:v>
                </c:pt>
                <c:pt idx="18">
                  <c:v>32.385386315823233</c:v>
                </c:pt>
                <c:pt idx="19">
                  <c:v>33.645154271942225</c:v>
                </c:pt>
                <c:pt idx="20">
                  <c:v>34.903575055378809</c:v>
                </c:pt>
                <c:pt idx="21">
                  <c:v>36.160325339678757</c:v>
                </c:pt>
                <c:pt idx="22">
                  <c:v>37.41506170843946</c:v>
                </c:pt>
                <c:pt idx="23">
                  <c:v>38.667417855032213</c:v>
                </c:pt>
                <c:pt idx="24">
                  <c:v>39.917001427014263</c:v>
                </c:pt>
                <c:pt idx="25">
                  <c:v>41.163390459302605</c:v>
                </c:pt>
                <c:pt idx="26">
                  <c:v>42.406129331096245</c:v>
                </c:pt>
                <c:pt idx="27">
                  <c:v>43.644724170957979</c:v>
                </c:pt>
                <c:pt idx="28">
                  <c:v>44.878637622205027</c:v>
                </c:pt>
                <c:pt idx="29">
                  <c:v>46.107282866615989</c:v>
                </c:pt>
                <c:pt idx="30">
                  <c:v>47.330016788270491</c:v>
                </c:pt>
                <c:pt idx="31">
                  <c:v>48.546132140989691</c:v>
                </c:pt>
                <c:pt idx="32">
                  <c:v>49.7548485623511</c:v>
                </c:pt>
                <c:pt idx="33">
                  <c:v>50.955302254824367</c:v>
                </c:pt>
                <c:pt idx="34">
                  <c:v>52.146534130776224</c:v>
                </c:pt>
                <c:pt idx="35">
                  <c:v>53.327476194031235</c:v>
                </c:pt>
                <c:pt idx="36">
                  <c:v>54.496935908311009</c:v>
                </c:pt>
                <c:pt idx="37">
                  <c:v>55.653578285471418</c:v>
                </c:pt>
                <c:pt idx="38">
                  <c:v>56.79590541920826</c:v>
                </c:pt>
                <c:pt idx="39">
                  <c:v>57.922233200823463</c:v>
                </c:pt>
                <c:pt idx="40">
                  <c:v>59.03066499475991</c:v>
                </c:pt>
                <c:pt idx="41">
                  <c:v>60.119062140500169</c:v>
                </c:pt>
                <c:pt idx="42">
                  <c:v>61.185011309032696</c:v>
                </c:pt>
                <c:pt idx="43">
                  <c:v>62.225789010661892</c:v>
                </c:pt>
                <c:pt idx="44">
                  <c:v>63.238323971425743</c:v>
                </c:pt>
                <c:pt idx="45">
                  <c:v>64.219158723161712</c:v>
                </c:pt>
                <c:pt idx="46">
                  <c:v>65.164412648926344</c:v>
                </c:pt>
                <c:pt idx="47">
                  <c:v>66.069749947013179</c:v>
                </c:pt>
                <c:pt idx="48">
                  <c:v>66.930357548825526</c:v>
                </c:pt>
                <c:pt idx="49">
                  <c:v>67.740939899605578</c:v>
                </c:pt>
                <c:pt idx="50">
                  <c:v>68.495739496291506</c:v>
                </c:pt>
                <c:pt idx="51">
                  <c:v>69.188593756909185</c:v>
                </c:pt>
                <c:pt idx="52">
                  <c:v>69.813039452075088</c:v>
                </c:pt>
                <c:pt idx="53">
                  <c:v>70.362474537250833</c:v>
                </c:pt>
                <c:pt idx="54">
                  <c:v>70.830382626541933</c:v>
                </c:pt>
                <c:pt idx="55">
                  <c:v>71.210616704774196</c:v>
                </c:pt>
                <c:pt idx="56">
                  <c:v>71.497726195269337</c:v>
                </c:pt>
                <c:pt idx="57">
                  <c:v>71.687297214351972</c:v>
                </c:pt>
                <c:pt idx="58">
                  <c:v>71.776263821775714</c:v>
                </c:pt>
                <c:pt idx="59">
                  <c:v>71.763143467172739</c:v>
                </c:pt>
                <c:pt idx="60">
                  <c:v>71.648156586031718</c:v>
                </c:pt>
                <c:pt idx="61">
                  <c:v>71.433208578718606</c:v>
                </c:pt>
                <c:pt idx="62">
                  <c:v>71.1217375117606</c:v>
                </c:pt>
                <c:pt idx="63">
                  <c:v>70.718454915902257</c:v>
                </c:pt>
                <c:pt idx="64">
                  <c:v>70.229022638164338</c:v>
                </c:pt>
                <c:pt idx="65">
                  <c:v>69.659712338851804</c:v>
                </c:pt>
                <c:pt idx="66">
                  <c:v>69.01708724036601</c:v>
                </c:pt>
                <c:pt idx="67">
                  <c:v>68.307732653003612</c:v>
                </c:pt>
                <c:pt idx="68">
                  <c:v>67.538047667948547</c:v>
                </c:pt>
                <c:pt idx="69">
                  <c:v>66.714098802299986</c:v>
                </c:pt>
                <c:pt idx="70">
                  <c:v>65.841528811581497</c:v>
                </c:pt>
                <c:pt idx="71">
                  <c:v>64.92551021362172</c:v>
                </c:pt>
                <c:pt idx="72">
                  <c:v>63.970732311697702</c:v>
                </c:pt>
                <c:pt idx="73">
                  <c:v>62.981411510395262</c:v>
                </c:pt>
                <c:pt idx="74">
                  <c:v>61.961316531614919</c:v>
                </c:pt>
                <c:pt idx="75">
                  <c:v>60.913802123951051</c:v>
                </c:pt>
                <c:pt idx="76">
                  <c:v>59.841846666100899</c:v>
                </c:pt>
                <c:pt idx="77">
                  <c:v>58.748090547745903</c:v>
                </c:pt>
                <c:pt idx="78">
                  <c:v>57.634873345284426</c:v>
                </c:pt>
                <c:pt idx="79">
                  <c:v>56.504268631598343</c:v>
                </c:pt>
                <c:pt idx="80">
                  <c:v>55.358115827873121</c:v>
                </c:pt>
                <c:pt idx="81">
                  <c:v>54.198048882102611</c:v>
                </c:pt>
                <c:pt idx="82">
                  <c:v>53.025521796194901</c:v>
                </c:pt>
                <c:pt idx="83">
                  <c:v>51.841831163681803</c:v>
                </c:pt>
                <c:pt idx="84">
                  <c:v>50.648135954613387</c:v>
                </c:pt>
                <c:pt idx="85">
                  <c:v>49.445474816164435</c:v>
                </c:pt>
                <c:pt idx="86">
                  <c:v>48.234781162775306</c:v>
                </c:pt>
                <c:pt idx="87">
                  <c:v>47.016896319162669</c:v>
                </c:pt>
                <c:pt idx="88">
                  <c:v>45.792580960454174</c:v>
                </c:pt>
                <c:pt idx="89">
                  <c:v>44.56252507065193</c:v>
                </c:pt>
                <c:pt idx="90">
                  <c:v>43.327356616489155</c:v>
                </c:pt>
                <c:pt idx="91">
                  <c:v>42.087649110218059</c:v>
                </c:pt>
                <c:pt idx="92">
                  <c:v>40.843928212900025</c:v>
                </c:pt>
                <c:pt idx="93">
                  <c:v>39.596677509813908</c:v>
                </c:pt>
                <c:pt idx="94">
                  <c:v>38.346343571809307</c:v>
                </c:pt>
                <c:pt idx="95">
                  <c:v>37.093340400779134</c:v>
                </c:pt>
                <c:pt idx="96">
                  <c:v>35.838053343784694</c:v>
                </c:pt>
                <c:pt idx="97">
                  <c:v>34.58084254855541</c:v>
                </c:pt>
                <c:pt idx="98">
                  <c:v>33.322046022911714</c:v>
                </c:pt>
                <c:pt idx="99">
                  <c:v>32.061982351924009</c:v>
                </c:pt>
                <c:pt idx="100">
                  <c:v>30.800953119140367</c:v>
                </c:pt>
                <c:pt idx="101">
                  <c:v>29.539245071817763</c:v>
                </c:pt>
                <c:pt idx="102">
                  <c:v>28.277132064628017</c:v>
                </c:pt>
                <c:pt idx="103">
                  <c:v>27.014876811643674</c:v>
                </c:pt>
                <c:pt idx="104">
                  <c:v>25.752732472426441</c:v>
                </c:pt>
                <c:pt idx="105">
                  <c:v>24.490944094640735</c:v>
                </c:pt>
                <c:pt idx="106">
                  <c:v>23.229749932710931</c:v>
                </c:pt>
                <c:pt idx="107">
                  <c:v>21.9693826595601</c:v>
                </c:pt>
                <c:pt idx="108">
                  <c:v>20.710070486347725</c:v>
                </c:pt>
                <c:pt idx="109">
                  <c:v>19.452038203309179</c:v>
                </c:pt>
                <c:pt idx="110">
                  <c:v>18.195508153248603</c:v>
                </c:pt>
                <c:pt idx="111">
                  <c:v>16.940701147906783</c:v>
                </c:pt>
                <c:pt idx="112">
                  <c:v>15.687837336286863</c:v>
                </c:pt>
                <c:pt idx="113">
                  <c:v>14.437137033044237</c:v>
                </c:pt>
                <c:pt idx="114">
                  <c:v>13.188821514209289</c:v>
                </c:pt>
                <c:pt idx="115">
                  <c:v>11.94311378679159</c:v>
                </c:pt>
                <c:pt idx="116">
                  <c:v>10.700239338195976</c:v>
                </c:pt>
                <c:pt idx="117">
                  <c:v>9.4604268708478472</c:v>
                </c:pt>
                <c:pt idx="118">
                  <c:v>8.2239090269648703</c:v>
                </c:pt>
                <c:pt idx="119">
                  <c:v>6.9909231080136758</c:v>
                </c:pt>
                <c:pt idx="120">
                  <c:v>5.7617117930417523</c:v>
                </c:pt>
                <c:pt idx="121">
                  <c:v>4.5365238597694519</c:v>
                </c:pt>
                <c:pt idx="122">
                  <c:v>3.3156149120543104</c:v>
                </c:pt>
                <c:pt idx="123">
                  <c:v>2.0992481170928232</c:v>
                </c:pt>
                <c:pt idx="124">
                  <c:v>0.88769495549724764</c:v>
                </c:pt>
                <c:pt idx="125">
                  <c:v>-0.31876401283336198</c:v>
                </c:pt>
                <c:pt idx="126">
                  <c:v>-1.5198383643420106</c:v>
                </c:pt>
                <c:pt idx="127">
                  <c:v>-2.7152270064537718</c:v>
                </c:pt>
                <c:pt idx="128">
                  <c:v>-3.9046173489677258</c:v>
                </c:pt>
                <c:pt idx="129">
                  <c:v>-5.0876844501894469</c:v>
                </c:pt>
                <c:pt idx="130">
                  <c:v>-6.2640901360699157</c:v>
                </c:pt>
                <c:pt idx="131">
                  <c:v>-7.4334820909316877</c:v>
                </c:pt>
                <c:pt idx="132">
                  <c:v>-8.5954929187266114</c:v>
                </c:pt>
                <c:pt idx="133">
                  <c:v>-9.7497391741937278</c:v>
                </c:pt>
                <c:pt idx="134">
                  <c:v>-10.895820363782335</c:v>
                </c:pt>
                <c:pt idx="135">
                  <c:v>-12.033317916789576</c:v>
                </c:pt>
                <c:pt idx="136">
                  <c:v>-13.161794127848735</c:v>
                </c:pt>
                <c:pt idx="137">
                  <c:v>-14.280791072710006</c:v>
                </c:pt>
                <c:pt idx="138">
                  <c:v>-15.389829500200083</c:v>
                </c:pt>
                <c:pt idx="139">
                  <c:v>-16.488407704347079</c:v>
                </c:pt>
                <c:pt idx="140">
                  <c:v>-17.576000381936556</c:v>
                </c:pt>
                <c:pt idx="141">
                  <c:v>-18.65205748224221</c:v>
                </c:pt>
                <c:pt idx="142">
                  <c:v>-19.716003057370905</c:v>
                </c:pt>
                <c:pt idx="143">
                  <c:v>-20.767234123601458</c:v>
                </c:pt>
                <c:pt idx="144">
                  <c:v>-21.80511954629219</c:v>
                </c:pt>
                <c:pt idx="145">
                  <c:v>-22.828998963404018</c:v>
                </c:pt>
                <c:pt idx="146">
                  <c:v>-23.838181765440805</c:v>
                </c:pt>
                <c:pt idx="147">
                  <c:v>-24.831946152650389</c:v>
                </c:pt>
                <c:pt idx="148">
                  <c:v>-25.809538293650398</c:v>
                </c:pt>
                <c:pt idx="149">
                  <c:v>-26.770171613217755</c:v>
                </c:pt>
                <c:pt idx="150">
                  <c:v>-27.713026240771931</c:v>
                </c:pt>
                <c:pt idx="151">
                  <c:v>-28.637248655025235</c:v>
                </c:pt>
                <c:pt idx="152">
                  <c:v>-29.541951564276339</c:v>
                </c:pt>
                <c:pt idx="153">
                  <c:v>-30.426214065761066</c:v>
                </c:pt>
                <c:pt idx="154">
                  <c:v>-31.289082131186547</c:v>
                </c:pt>
                <c:pt idx="155">
                  <c:v>-32.129569468851294</c:v>
                </c:pt>
                <c:pt idx="156">
                  <c:v>-32.946658815346503</c:v>
                </c:pt>
                <c:pt idx="157">
                  <c:v>-33.739303711439049</c:v>
                </c:pt>
                <c:pt idx="158">
                  <c:v>-34.506430817013772</c:v>
                </c:pt>
                <c:pt idx="159">
                  <c:v>-35.246942818519166</c:v>
                </c:pt>
                <c:pt idx="160">
                  <c:v>-35.959721978805909</c:v>
                </c:pt>
              </c:numCache>
            </c:numRef>
          </c:yVal>
          <c:smooth val="1"/>
          <c:extLst>
            <c:ext xmlns:c16="http://schemas.microsoft.com/office/drawing/2014/chart" uri="{C3380CC4-5D6E-409C-BE32-E72D297353CC}">
              <c16:uniqueId val="{00000001-FFDD-9344-B7EA-A1B549884D32}"/>
            </c:ext>
          </c:extLst>
        </c:ser>
        <c:ser>
          <c:idx val="6"/>
          <c:order val="3"/>
          <c:tx>
            <c:v>"30 deg limits"</c:v>
          </c:tx>
          <c:spPr>
            <a:ln w="12700"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Calcs!$N$30:$N$31</c:f>
              <c:numCache>
                <c:formatCode>General</c:formatCode>
                <c:ptCount val="2"/>
                <c:pt idx="0">
                  <c:v>30</c:v>
                </c:pt>
                <c:pt idx="1">
                  <c:v>30</c:v>
                </c:pt>
              </c:numCache>
            </c:numRef>
          </c:yVal>
          <c:smooth val="1"/>
          <c:extLst>
            <c:ext xmlns:c16="http://schemas.microsoft.com/office/drawing/2014/chart" uri="{C3380CC4-5D6E-409C-BE32-E72D297353CC}">
              <c16:uniqueId val="{00000018-FFDD-9344-B7EA-A1B549884D32}"/>
            </c:ext>
          </c:extLst>
        </c:ser>
        <c:ser>
          <c:idx val="7"/>
          <c:order val="4"/>
          <c:tx>
            <c:v>"86 deg limits"</c:v>
          </c:tx>
          <c:spPr>
            <a:ln w="12700"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Calcs!$O$30:$O$31</c:f>
              <c:numCache>
                <c:formatCode>General</c:formatCode>
                <c:ptCount val="2"/>
                <c:pt idx="0">
                  <c:v>86</c:v>
                </c:pt>
                <c:pt idx="1">
                  <c:v>86</c:v>
                </c:pt>
              </c:numCache>
            </c:numRef>
          </c:yVal>
          <c:smooth val="1"/>
          <c:extLst>
            <c:ext xmlns:c16="http://schemas.microsoft.com/office/drawing/2014/chart" uri="{C3380CC4-5D6E-409C-BE32-E72D297353CC}">
              <c16:uniqueId val="{00000019-FFDD-9344-B7EA-A1B549884D32}"/>
            </c:ext>
          </c:extLst>
        </c:ser>
        <c:ser>
          <c:idx val="19"/>
          <c:order val="5"/>
          <c:tx>
            <c:v>"Now"</c:v>
          </c:tx>
          <c:spPr>
            <a:ln w="19050" cap="rnd">
              <a:noFill/>
              <a:round/>
            </a:ln>
            <a:effectLst/>
          </c:spPr>
          <c:marker>
            <c:symbol val="circle"/>
            <c:size val="7"/>
            <c:spPr>
              <a:noFill/>
              <a:ln w="15875">
                <a:solidFill>
                  <a:srgbClr val="C00000"/>
                </a:solidFill>
              </a:ln>
              <a:effectLst/>
            </c:spPr>
          </c:marker>
          <c:dLbls>
            <c:dLbl>
              <c:idx val="0"/>
              <c:tx>
                <c:rich>
                  <a:bodyPr/>
                  <a:lstStyle/>
                  <a:p>
                    <a:fld id="{55285802-B01A-424F-A049-9C01740631A4}" type="CELLRANGE">
                      <a:rPr lang="en-US"/>
                      <a:pPr/>
                      <a:t>[CELLRANGE]</a:t>
                    </a:fld>
                    <a:endParaRPr lang="en-US"/>
                  </a:p>
                </c:rich>
              </c:tx>
              <c:dLblPos val="t"/>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A-FFDD-9344-B7EA-A1B549884D3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xVal>
            <c:numRef>
              <c:f>AtmDisp!$P$5</c:f>
              <c:numCache>
                <c:formatCode>0.00</c:formatCode>
                <c:ptCount val="1"/>
                <c:pt idx="0">
                  <c:v>7.5</c:v>
                </c:pt>
              </c:numCache>
            </c:numRef>
          </c:xVal>
          <c:yVal>
            <c:numRef>
              <c:f>MODS!$BP$45</c:f>
              <c:numCache>
                <c:formatCode>General</c:formatCode>
                <c:ptCount val="1"/>
                <c:pt idx="0">
                  <c:v>4</c:v>
                </c:pt>
              </c:numCache>
            </c:numRef>
          </c:yVal>
          <c:smooth val="1"/>
          <c:extLst>
            <c:ext xmlns:c15="http://schemas.microsoft.com/office/drawing/2012/chart" uri="{02D57815-91ED-43cb-92C2-25804820EDAC}">
              <c15:datalabelsRange>
                <c15:f>MODS!$BQ$45</c15:f>
                <c15:dlblRangeCache>
                  <c:ptCount val="1"/>
                  <c:pt idx="0">
                    <c:v>Now</c:v>
                  </c:pt>
                </c15:dlblRangeCache>
              </c15:datalabelsRange>
            </c:ext>
            <c:ext xmlns:c16="http://schemas.microsoft.com/office/drawing/2014/chart" uri="{C3380CC4-5D6E-409C-BE32-E72D297353CC}">
              <c16:uniqueId val="{0000005B-FFDD-9344-B7EA-A1B549884D32}"/>
            </c:ext>
          </c:extLst>
        </c:ser>
        <c:ser>
          <c:idx val="34"/>
          <c:order val="6"/>
          <c:tx>
            <c:v>Alt at UT</c:v>
          </c:tx>
          <c:spPr>
            <a:ln>
              <a:solidFill>
                <a:schemeClr val="accent5">
                  <a:lumMod val="50000"/>
                </a:schemeClr>
              </a:solidFill>
            </a:ln>
          </c:spPr>
          <c:marker>
            <c:symbol val="circle"/>
            <c:size val="5"/>
            <c:spPr>
              <a:solidFill>
                <a:schemeClr val="lt1"/>
              </a:solidFill>
              <a:ln w="9525">
                <a:solidFill>
                  <a:schemeClr val="tx1"/>
                </a:solidFill>
              </a:ln>
              <a:effectLst/>
            </c:spPr>
          </c:marker>
          <c:errBars>
            <c:errDir val="x"/>
            <c:errBarType val="plus"/>
            <c:errValType val="cust"/>
            <c:noEndCap val="0"/>
            <c:plus>
              <c:numRef>
                <c:f>MODS!$AU$4:$AU$24</c:f>
                <c:numCache>
                  <c:formatCode>General</c:formatCode>
                  <c:ptCount val="21"/>
                  <c:pt idx="0">
                    <c:v>#N/A</c:v>
                  </c:pt>
                  <c:pt idx="1">
                    <c:v>#N/A</c:v>
                  </c:pt>
                  <c:pt idx="2">
                    <c:v>#N/A</c:v>
                  </c:pt>
                  <c:pt idx="3">
                    <c:v>#N/A</c:v>
                  </c:pt>
                  <c:pt idx="4">
                    <c:v>#N/A</c:v>
                  </c:pt>
                  <c:pt idx="5">
                    <c:v>#N/A</c:v>
                  </c:pt>
                  <c:pt idx="6">
                    <c:v>#N/A</c:v>
                  </c:pt>
                  <c:pt idx="7">
                    <c:v>2.4538379457529946</c:v>
                  </c:pt>
                  <c:pt idx="8">
                    <c:v>#N/A</c:v>
                  </c:pt>
                  <c:pt idx="9">
                    <c:v>#N/A</c:v>
                  </c:pt>
                  <c:pt idx="10">
                    <c:v>#N/A</c:v>
                  </c:pt>
                  <c:pt idx="11">
                    <c:v>#N/A</c:v>
                  </c:pt>
                  <c:pt idx="12">
                    <c:v>5.7871712790863281</c:v>
                  </c:pt>
                  <c:pt idx="13">
                    <c:v>#N/A</c:v>
                  </c:pt>
                  <c:pt idx="14">
                    <c:v>#N/A</c:v>
                  </c:pt>
                  <c:pt idx="15">
                    <c:v>#N/A</c:v>
                  </c:pt>
                  <c:pt idx="16">
                    <c:v>#N/A</c:v>
                  </c:pt>
                  <c:pt idx="17">
                    <c:v>#N/A</c:v>
                  </c:pt>
                  <c:pt idx="18">
                    <c:v>#N/A</c:v>
                  </c:pt>
                  <c:pt idx="19">
                    <c:v>#N/A</c:v>
                  </c:pt>
                  <c:pt idx="20">
                    <c:v>#N/A</c:v>
                  </c:pt>
                </c:numCache>
              </c:numRef>
            </c:plus>
            <c:minus>
              <c:numRef>
                <c:f>MODS!$AU$4:$AU$24</c:f>
                <c:numCache>
                  <c:formatCode>General</c:formatCode>
                  <c:ptCount val="21"/>
                  <c:pt idx="0">
                    <c:v>#N/A</c:v>
                  </c:pt>
                  <c:pt idx="1">
                    <c:v>#N/A</c:v>
                  </c:pt>
                  <c:pt idx="2">
                    <c:v>#N/A</c:v>
                  </c:pt>
                  <c:pt idx="3">
                    <c:v>#N/A</c:v>
                  </c:pt>
                  <c:pt idx="4">
                    <c:v>#N/A</c:v>
                  </c:pt>
                  <c:pt idx="5">
                    <c:v>#N/A</c:v>
                  </c:pt>
                  <c:pt idx="6">
                    <c:v>#N/A</c:v>
                  </c:pt>
                  <c:pt idx="7">
                    <c:v>2.4538379457529946</c:v>
                  </c:pt>
                  <c:pt idx="8">
                    <c:v>#N/A</c:v>
                  </c:pt>
                  <c:pt idx="9">
                    <c:v>#N/A</c:v>
                  </c:pt>
                  <c:pt idx="10">
                    <c:v>#N/A</c:v>
                  </c:pt>
                  <c:pt idx="11">
                    <c:v>#N/A</c:v>
                  </c:pt>
                  <c:pt idx="12">
                    <c:v>5.7871712790863281</c:v>
                  </c:pt>
                  <c:pt idx="13">
                    <c:v>#N/A</c:v>
                  </c:pt>
                  <c:pt idx="14">
                    <c:v>#N/A</c:v>
                  </c:pt>
                  <c:pt idx="15">
                    <c:v>#N/A</c:v>
                  </c:pt>
                  <c:pt idx="16">
                    <c:v>#N/A</c:v>
                  </c:pt>
                  <c:pt idx="17">
                    <c:v>#N/A</c:v>
                  </c:pt>
                  <c:pt idx="18">
                    <c:v>#N/A</c:v>
                  </c:pt>
                  <c:pt idx="19">
                    <c:v>#N/A</c:v>
                  </c:pt>
                  <c:pt idx="20">
                    <c:v>#N/A</c:v>
                  </c:pt>
                </c:numCache>
              </c:numRef>
            </c:minus>
            <c:spPr>
              <a:ln cmpd="sng">
                <a:solidFill>
                  <a:schemeClr val="bg1">
                    <a:lumMod val="65000"/>
                  </a:schemeClr>
                </a:solidFill>
                <a:prstDash val="solid"/>
              </a:ln>
            </c:spPr>
          </c:errBars>
          <c:errBars>
            <c:errDir val="y"/>
            <c:errBarType val="both"/>
            <c:errValType val="percentage"/>
            <c:noEndCap val="1"/>
            <c:val val="5"/>
            <c:spPr>
              <a:ln>
                <a:noFill/>
              </a:ln>
            </c:spPr>
          </c:errBars>
          <c:xVal>
            <c:numRef>
              <c:f>AtmDisp!$P$5</c:f>
              <c:numCache>
                <c:formatCode>0.00</c:formatCode>
                <c:ptCount val="1"/>
                <c:pt idx="0">
                  <c:v>7.5</c:v>
                </c:pt>
              </c:numCache>
            </c:numRef>
          </c:xVal>
          <c:yVal>
            <c:numRef>
              <c:f>AtmDisp!$R$5</c:f>
              <c:numCache>
                <c:formatCode>0.0</c:formatCode>
                <c:ptCount val="1"/>
                <c:pt idx="0">
                  <c:v>49.445474816164314</c:v>
                </c:pt>
              </c:numCache>
            </c:numRef>
          </c:yVal>
          <c:smooth val="1"/>
          <c:extLst>
            <c:ext xmlns:c16="http://schemas.microsoft.com/office/drawing/2014/chart" uri="{C3380CC4-5D6E-409C-BE32-E72D297353CC}">
              <c16:uniqueId val="{0000005C-FFDD-9344-B7EA-A1B549884D32}"/>
            </c:ext>
          </c:extLst>
        </c:ser>
        <c:ser>
          <c:idx val="35"/>
          <c:order val="7"/>
          <c:tx>
            <c:v>Local Time</c:v>
          </c:tx>
          <c:spPr>
            <a:ln w="19050" cap="rnd">
              <a:noFill/>
              <a:round/>
            </a:ln>
            <a:effectLst/>
          </c:spPr>
          <c:marker>
            <c:symbol val="none"/>
          </c:marker>
          <c:dLbls>
            <c:dLbl>
              <c:idx val="0"/>
              <c:tx>
                <c:rich>
                  <a:bodyPr/>
                  <a:lstStyle/>
                  <a:p>
                    <a:fld id="{A56D351B-0067-094F-A567-AED4DBE1C7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D-FFDD-9344-B7EA-A1B549884D32}"/>
                </c:ext>
              </c:extLst>
            </c:dLbl>
            <c:dLbl>
              <c:idx val="1"/>
              <c:tx>
                <c:rich>
                  <a:bodyPr/>
                  <a:lstStyle/>
                  <a:p>
                    <a:fld id="{2CDFC4A2-09D3-8A44-8884-3C33952C9F9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FFDD-9344-B7EA-A1B549884D32}"/>
                </c:ext>
              </c:extLst>
            </c:dLbl>
            <c:dLbl>
              <c:idx val="2"/>
              <c:tx>
                <c:rich>
                  <a:bodyPr/>
                  <a:lstStyle/>
                  <a:p>
                    <a:fld id="{544BB364-39DA-544F-B189-243BEC56574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FFDD-9344-B7EA-A1B549884D32}"/>
                </c:ext>
              </c:extLst>
            </c:dLbl>
            <c:dLbl>
              <c:idx val="3"/>
              <c:tx>
                <c:rich>
                  <a:bodyPr/>
                  <a:lstStyle/>
                  <a:p>
                    <a:fld id="{B8384C4B-A323-5D44-B869-0202C2588F2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FFDD-9344-B7EA-A1B549884D32}"/>
                </c:ext>
              </c:extLst>
            </c:dLbl>
            <c:dLbl>
              <c:idx val="4"/>
              <c:tx>
                <c:rich>
                  <a:bodyPr/>
                  <a:lstStyle/>
                  <a:p>
                    <a:fld id="{7BAC2BA6-DE6E-6B48-BC21-858916AB8A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FFDD-9344-B7EA-A1B549884D32}"/>
                </c:ext>
              </c:extLst>
            </c:dLbl>
            <c:dLbl>
              <c:idx val="5"/>
              <c:tx>
                <c:rich>
                  <a:bodyPr/>
                  <a:lstStyle/>
                  <a:p>
                    <a:fld id="{3DA3E0F3-C145-F144-97D0-38BC2ADE87D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FFDD-9344-B7EA-A1B549884D32}"/>
                </c:ext>
              </c:extLst>
            </c:dLbl>
            <c:dLbl>
              <c:idx val="6"/>
              <c:tx>
                <c:rich>
                  <a:bodyPr/>
                  <a:lstStyle/>
                  <a:p>
                    <a:fld id="{81E464AD-D9AF-CC41-9FC4-C05C130EC2D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FFDD-9344-B7EA-A1B549884D32}"/>
                </c:ext>
              </c:extLst>
            </c:dLbl>
            <c:dLbl>
              <c:idx val="7"/>
              <c:tx>
                <c:rich>
                  <a:bodyPr/>
                  <a:lstStyle/>
                  <a:p>
                    <a:fld id="{7D72EB15-FD30-AB49-8D52-4689BEA3092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FFDD-9344-B7EA-A1B549884D32}"/>
                </c:ext>
              </c:extLst>
            </c:dLbl>
            <c:dLbl>
              <c:idx val="8"/>
              <c:tx>
                <c:rich>
                  <a:bodyPr/>
                  <a:lstStyle/>
                  <a:p>
                    <a:fld id="{9A375995-0F2B-7640-AEE5-A4213F6EA92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FFDD-9344-B7EA-A1B549884D32}"/>
                </c:ext>
              </c:extLst>
            </c:dLbl>
            <c:dLbl>
              <c:idx val="9"/>
              <c:tx>
                <c:rich>
                  <a:bodyPr/>
                  <a:lstStyle/>
                  <a:p>
                    <a:fld id="{A4D5C565-BA67-914C-8441-77C4A395CE7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FFDD-9344-B7EA-A1B549884D32}"/>
                </c:ext>
              </c:extLst>
            </c:dLbl>
            <c:dLbl>
              <c:idx val="10"/>
              <c:tx>
                <c:rich>
                  <a:bodyPr/>
                  <a:lstStyle/>
                  <a:p>
                    <a:fld id="{B63D67A0-B7E5-B64B-8414-BD01B62B0DC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FFDD-9344-B7EA-A1B549884D32}"/>
                </c:ext>
              </c:extLst>
            </c:dLbl>
            <c:dLbl>
              <c:idx val="11"/>
              <c:tx>
                <c:rich>
                  <a:bodyPr/>
                  <a:lstStyle/>
                  <a:p>
                    <a:fld id="{1F79443B-B283-0148-9662-C21859D2B9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FFDD-9344-B7EA-A1B549884D32}"/>
                </c:ext>
              </c:extLst>
            </c:dLbl>
            <c:dLbl>
              <c:idx val="12"/>
              <c:tx>
                <c:rich>
                  <a:bodyPr/>
                  <a:lstStyle/>
                  <a:p>
                    <a:fld id="{A5C9BAA9-DEBD-D042-AE4D-F6E1266EEE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FFDD-9344-B7EA-A1B549884D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Calcs!$S$4:$S$16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Calcs!$T$4:$T$16</c:f>
              <c:numCache>
                <c:formatCode>General</c:formatCode>
                <c:ptCount val="13"/>
                <c:pt idx="0">
                  <c:v>88</c:v>
                </c:pt>
                <c:pt idx="1">
                  <c:v>88</c:v>
                </c:pt>
                <c:pt idx="2">
                  <c:v>88</c:v>
                </c:pt>
                <c:pt idx="3">
                  <c:v>88</c:v>
                </c:pt>
                <c:pt idx="4">
                  <c:v>88</c:v>
                </c:pt>
                <c:pt idx="5">
                  <c:v>88</c:v>
                </c:pt>
                <c:pt idx="6">
                  <c:v>88</c:v>
                </c:pt>
                <c:pt idx="7">
                  <c:v>88</c:v>
                </c:pt>
                <c:pt idx="8">
                  <c:v>88</c:v>
                </c:pt>
                <c:pt idx="9">
                  <c:v>88</c:v>
                </c:pt>
                <c:pt idx="10">
                  <c:v>88</c:v>
                </c:pt>
                <c:pt idx="11">
                  <c:v>88</c:v>
                </c:pt>
                <c:pt idx="12">
                  <c:v>88</c:v>
                </c:pt>
              </c:numCache>
            </c:numRef>
          </c:yVal>
          <c:smooth val="1"/>
          <c:extLst>
            <c:ext xmlns:c15="http://schemas.microsoft.com/office/drawing/2012/chart" uri="{02D57815-91ED-43cb-92C2-25804820EDAC}">
              <c15:datalabelsRange>
                <c15:f>Calcs!$U$4:$U$16</c15:f>
                <c15:dlblRangeCache>
                  <c:ptCount val="13"/>
                  <c:pt idx="0">
                    <c:v>8 pm</c:v>
                  </c:pt>
                  <c:pt idx="1">
                    <c:v>9 pm</c:v>
                  </c:pt>
                  <c:pt idx="2">
                    <c:v>10 pm</c:v>
                  </c:pt>
                  <c:pt idx="3">
                    <c:v>11 pm</c:v>
                  </c:pt>
                  <c:pt idx="4">
                    <c:v>0 am</c:v>
                  </c:pt>
                  <c:pt idx="5">
                    <c:v>1 am</c:v>
                  </c:pt>
                  <c:pt idx="6">
                    <c:v>2 am</c:v>
                  </c:pt>
                  <c:pt idx="7">
                    <c:v>3 am</c:v>
                  </c:pt>
                  <c:pt idx="8">
                    <c:v>4 am</c:v>
                  </c:pt>
                  <c:pt idx="9">
                    <c:v>5 am</c:v>
                  </c:pt>
                  <c:pt idx="10">
                    <c:v>6 am</c:v>
                  </c:pt>
                  <c:pt idx="11">
                    <c:v>7 am</c:v>
                  </c:pt>
                  <c:pt idx="12">
                    <c:v>8 am</c:v>
                  </c:pt>
                </c15:dlblRangeCache>
              </c15:datalabelsRange>
            </c:ext>
            <c:ext xmlns:c16="http://schemas.microsoft.com/office/drawing/2014/chart" uri="{C3380CC4-5D6E-409C-BE32-E72D297353CC}">
              <c16:uniqueId val="{0000006A-FFDD-9344-B7EA-A1B549884D32}"/>
            </c:ext>
          </c:extLst>
        </c:ser>
        <c:ser>
          <c:idx val="37"/>
          <c:order val="8"/>
          <c:tx>
            <c:v>Date</c:v>
          </c:tx>
          <c:marker>
            <c:symbol val="none"/>
          </c:marker>
          <c:dLbls>
            <c:dLbl>
              <c:idx val="0"/>
              <c:tx>
                <c:rich>
                  <a:bodyPr/>
                  <a:lstStyle/>
                  <a:p>
                    <a:fld id="{60C2B1EE-8E1F-B248-BC4C-D72C93A342B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0-FFDD-9344-B7EA-A1B549884D32}"/>
                </c:ext>
              </c:extLst>
            </c:dLbl>
            <c:spPr>
              <a:noFill/>
              <a:ln>
                <a:noFill/>
              </a:ln>
              <a:effectLst/>
            </c:spPr>
            <c:txPr>
              <a:bodyPr wrap="square" lIns="38100" tIns="19050" rIns="38100" bIns="19050" anchor="ctr">
                <a:spAutoFit/>
              </a:bodyPr>
              <a:lstStyle/>
              <a:p>
                <a:pPr>
                  <a:defRPr sz="1600">
                    <a:solidFill>
                      <a:schemeClr val="tx1">
                        <a:lumMod val="65000"/>
                        <a:lumOff val="35000"/>
                      </a:schemeClr>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Calcs!$S$20</c:f>
              <c:numCache>
                <c:formatCode>General</c:formatCode>
                <c:ptCount val="1"/>
                <c:pt idx="0">
                  <c:v>2</c:v>
                </c:pt>
              </c:numCache>
            </c:numRef>
          </c:xVal>
          <c:yVal>
            <c:numRef>
              <c:f>Calcs!$T$20</c:f>
              <c:numCache>
                <c:formatCode>General</c:formatCode>
                <c:ptCount val="1"/>
                <c:pt idx="0">
                  <c:v>90</c:v>
                </c:pt>
              </c:numCache>
            </c:numRef>
          </c:yVal>
          <c:smooth val="1"/>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81-FFDD-9344-B7EA-A1B549884D32}"/>
            </c:ext>
          </c:extLst>
        </c:ser>
        <c:ser>
          <c:idx val="2"/>
          <c:order val="11"/>
          <c:tx>
            <c:v>UT-Transit</c:v>
          </c:tx>
          <c:spPr>
            <a:ln w="15875">
              <a:solidFill>
                <a:schemeClr val="bg1">
                  <a:lumMod val="75000"/>
                </a:schemeClr>
              </a:solidFill>
              <a:prstDash val="dash"/>
            </a:ln>
          </c:spPr>
          <c:marker>
            <c:symbol val="none"/>
          </c:marker>
          <c:dLbls>
            <c:dLbl>
              <c:idx val="0"/>
              <c:tx>
                <c:rich>
                  <a:bodyPr wrap="square" lIns="38100" tIns="19050" rIns="38100" bIns="19050" anchor="ctr">
                    <a:spAutoFit/>
                  </a:bodyPr>
                  <a:lstStyle/>
                  <a:p>
                    <a:pPr>
                      <a:defRPr sz="1200">
                        <a:solidFill>
                          <a:schemeClr val="bg1">
                            <a:lumMod val="50000"/>
                          </a:schemeClr>
                        </a:solidFill>
                      </a:defRPr>
                    </a:pPr>
                    <a:fld id="{1D096648-193B-1043-A016-7655242A0BB1}" type="CELLRANGE">
                      <a:rPr lang="en-US"/>
                      <a:pPr>
                        <a:defRPr sz="1200">
                          <a:solidFill>
                            <a:schemeClr val="bg1">
                              <a:lumMod val="50000"/>
                            </a:schemeClr>
                          </a:solidFill>
                        </a:defRPr>
                      </a:pPr>
                      <a:t>[CELLRANGE]</a:t>
                    </a:fld>
                    <a:endParaRPr lang="en-US"/>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4-FFDD-9344-B7EA-A1B549884D32}"/>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5-FFDD-9344-B7EA-A1B549884D32}"/>
                </c:ext>
              </c:extLst>
            </c:dLbl>
            <c:spPr>
              <a:noFill/>
              <a:ln>
                <a:noFill/>
              </a:ln>
              <a:effectLst/>
            </c:sp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AtmDisp!$AE$51:$AE$52</c:f>
              <c:numCache>
                <c:formatCode>0.00</c:formatCode>
                <c:ptCount val="2"/>
                <c:pt idx="0">
                  <c:v>4.8371712790863279</c:v>
                </c:pt>
                <c:pt idx="1">
                  <c:v>4.8371712790863279</c:v>
                </c:pt>
              </c:numCache>
            </c:numRef>
          </c:xVal>
          <c:yVal>
            <c:numRef>
              <c:f>AtmDisp!$AF$51:$AF$52</c:f>
              <c:numCache>
                <c:formatCode>General</c:formatCode>
                <c:ptCount val="2"/>
                <c:pt idx="0">
                  <c:v>0</c:v>
                </c:pt>
                <c:pt idx="1">
                  <c:v>90</c:v>
                </c:pt>
              </c:numCache>
            </c:numRef>
          </c:yVal>
          <c:smooth val="1"/>
          <c:extLst>
            <c:ext xmlns:c15="http://schemas.microsoft.com/office/drawing/2012/chart" uri="{02D57815-91ED-43cb-92C2-25804820EDAC}">
              <c15:datalabelsRange>
                <c15:f>AtmDisp!$AE$50</c15:f>
                <c15:dlblRangeCache>
                  <c:ptCount val="1"/>
                  <c:pt idx="0">
                    <c:v>Transit</c:v>
                  </c:pt>
                </c15:dlblRangeCache>
              </c15:datalabelsRange>
            </c:ext>
            <c:ext xmlns:c16="http://schemas.microsoft.com/office/drawing/2014/chart" uri="{C3380CC4-5D6E-409C-BE32-E72D297353CC}">
              <c16:uniqueId val="{00000083-FFDD-9344-B7EA-A1B549884D32}"/>
            </c:ext>
          </c:extLst>
        </c:ser>
        <c:ser>
          <c:idx val="9"/>
          <c:order val="13"/>
          <c:tx>
            <c:v>12-deg-Ev</c:v>
          </c:tx>
          <c:spPr>
            <a:ln w="19050">
              <a:solidFill>
                <a:srgbClr val="00B050"/>
              </a:solidFill>
              <a:prstDash val="dash"/>
            </a:ln>
          </c:spPr>
          <c:marker>
            <c:symbol val="none"/>
          </c:marker>
          <c:dLbls>
            <c:dLbl>
              <c:idx val="0"/>
              <c:tx>
                <c:rich>
                  <a:bodyPr/>
                  <a:lstStyle/>
                  <a:p>
                    <a:fld id="{78AACA94-1C51-9941-B252-3143A2F2B46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401-A24F-BF8F-C74477FB32E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9401-A24F-BF8F-C74477FB32EE}"/>
                </c:ext>
              </c:extLst>
            </c:dLbl>
            <c:spPr>
              <a:solidFill>
                <a:schemeClr val="lt1"/>
              </a:solidFill>
              <a:ln>
                <a:solidFill>
                  <a:srgbClr val="00B050"/>
                </a:solidFill>
              </a:ln>
              <a:effectLst/>
            </c:spPr>
            <c:txPr>
              <a:bodyPr wrap="square" lIns="38100" tIns="19050" rIns="38100" bIns="19050" anchor="ctr">
                <a:spAutoFit/>
              </a:bodyPr>
              <a:lstStyle/>
              <a:p>
                <a:pPr>
                  <a:defRPr>
                    <a:solidFill>
                      <a:srgbClr val="00B050"/>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Calcs!$M$46:$M$47</c:f>
              <c:numCache>
                <c:formatCode>0.00</c:formatCode>
                <c:ptCount val="2"/>
                <c:pt idx="0">
                  <c:v>2.135375871853185</c:v>
                </c:pt>
                <c:pt idx="1">
                  <c:v>2.135375871853185</c:v>
                </c:pt>
              </c:numCache>
            </c:numRef>
          </c:xVal>
          <c:yVal>
            <c:numRef>
              <c:f>Calcs!$N$46:$N$47</c:f>
              <c:numCache>
                <c:formatCode>General</c:formatCode>
                <c:ptCount val="2"/>
                <c:pt idx="0">
                  <c:v>0</c:v>
                </c:pt>
                <c:pt idx="1">
                  <c:v>90</c:v>
                </c:pt>
              </c:numCache>
            </c:numRef>
          </c:yVal>
          <c:smooth val="1"/>
          <c:extLst>
            <c:ext xmlns:c15="http://schemas.microsoft.com/office/drawing/2012/chart" uri="{02D57815-91ED-43cb-92C2-25804820EDAC}">
              <c15:datalabelsRange>
                <c15:f>Calcs!$O$48</c15:f>
                <c15:dlblRangeCache>
                  <c:ptCount val="1"/>
                  <c:pt idx="0">
                    <c:v>12</c:v>
                  </c:pt>
                </c15:dlblRangeCache>
              </c15:datalabelsRange>
            </c:ext>
            <c:ext xmlns:c16="http://schemas.microsoft.com/office/drawing/2014/chart" uri="{C3380CC4-5D6E-409C-BE32-E72D297353CC}">
              <c16:uniqueId val="{00000000-9401-A24F-BF8F-C74477FB32EE}"/>
            </c:ext>
          </c:extLst>
        </c:ser>
        <c:ser>
          <c:idx val="10"/>
          <c:order val="14"/>
          <c:tx>
            <c:v>12-deg-Mo</c:v>
          </c:tx>
          <c:spPr>
            <a:ln w="19050">
              <a:solidFill>
                <a:srgbClr val="00B050"/>
              </a:solidFill>
              <a:prstDash val="dash"/>
            </a:ln>
          </c:spPr>
          <c:marker>
            <c:symbol val="none"/>
          </c:marker>
          <c:dLbls>
            <c:dLbl>
              <c:idx val="0"/>
              <c:tx>
                <c:rich>
                  <a:bodyPr/>
                  <a:lstStyle/>
                  <a:p>
                    <a:fld id="{0F74D7FF-ADA3-0448-BF2A-497067BFD71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401-A24F-BF8F-C74477FB32E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9401-A24F-BF8F-C74477FB32EE}"/>
                </c:ext>
              </c:extLst>
            </c:dLbl>
            <c:spPr>
              <a:solidFill>
                <a:schemeClr val="lt1"/>
              </a:solidFill>
              <a:ln>
                <a:solidFill>
                  <a:srgbClr val="00B050"/>
                </a:solidFill>
              </a:ln>
              <a:effectLst/>
            </c:spPr>
            <c:txPr>
              <a:bodyPr wrap="square" lIns="38100" tIns="19050" rIns="38100" bIns="19050" anchor="ctr">
                <a:spAutoFit/>
              </a:bodyPr>
              <a:lstStyle/>
              <a:p>
                <a:pPr>
                  <a:defRPr>
                    <a:solidFill>
                      <a:srgbClr val="00B050"/>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Calcs!$M$48:$M$49</c:f>
              <c:numCache>
                <c:formatCode>0.00</c:formatCode>
                <c:ptCount val="2"/>
                <c:pt idx="0">
                  <c:v>12.94092368028338</c:v>
                </c:pt>
                <c:pt idx="1">
                  <c:v>12.94092368028338</c:v>
                </c:pt>
              </c:numCache>
            </c:numRef>
          </c:xVal>
          <c:yVal>
            <c:numRef>
              <c:f>Calcs!$N$48:$N$49</c:f>
              <c:numCache>
                <c:formatCode>General</c:formatCode>
                <c:ptCount val="2"/>
                <c:pt idx="0">
                  <c:v>0</c:v>
                </c:pt>
                <c:pt idx="1">
                  <c:v>90</c:v>
                </c:pt>
              </c:numCache>
            </c:numRef>
          </c:yVal>
          <c:smooth val="1"/>
          <c:extLst>
            <c:ext xmlns:c15="http://schemas.microsoft.com/office/drawing/2012/chart" uri="{02D57815-91ED-43cb-92C2-25804820EDAC}">
              <c15:datalabelsRange>
                <c15:f>Calcs!$O$46</c15:f>
                <c15:dlblRangeCache>
                  <c:ptCount val="1"/>
                  <c:pt idx="0">
                    <c:v>12</c:v>
                  </c:pt>
                </c15:dlblRangeCache>
              </c15:datalabelsRange>
            </c:ext>
            <c:ext xmlns:c16="http://schemas.microsoft.com/office/drawing/2014/chart" uri="{C3380CC4-5D6E-409C-BE32-E72D297353CC}">
              <c16:uniqueId val="{00000001-9401-A24F-BF8F-C74477FB32EE}"/>
            </c:ext>
          </c:extLst>
        </c:ser>
        <c:dLbls>
          <c:showLegendKey val="0"/>
          <c:showVal val="0"/>
          <c:showCatName val="0"/>
          <c:showSerName val="0"/>
          <c:showPercent val="0"/>
          <c:showBubbleSize val="0"/>
        </c:dLbls>
        <c:axId val="241103296"/>
        <c:axId val="580761936"/>
      </c:scatterChart>
      <c:scatterChart>
        <c:scatterStyle val="smoothMarker"/>
        <c:varyColors val="0"/>
        <c:ser>
          <c:idx val="3"/>
          <c:order val="1"/>
          <c:tx>
            <c:v>Par Ang</c:v>
          </c:tx>
          <c:spPr>
            <a:ln w="12700">
              <a:solidFill>
                <a:srgbClr val="0070C0"/>
              </a:solidFill>
            </a:ln>
          </c:spPr>
          <c:marker>
            <c:symbol val="none"/>
          </c:marker>
          <c:xVal>
            <c:numRef>
              <c:f>AtmDisp!$P$6:$P$166</c:f>
              <c:numCache>
                <c:formatCode>0.00</c:formatCode>
                <c:ptCount val="161"/>
                <c:pt idx="0">
                  <c:v>-1</c:v>
                </c:pt>
                <c:pt idx="1">
                  <c:v>-0.9</c:v>
                </c:pt>
                <c:pt idx="2">
                  <c:v>-0.8</c:v>
                </c:pt>
                <c:pt idx="3">
                  <c:v>-0.70000000000000007</c:v>
                </c:pt>
                <c:pt idx="4">
                  <c:v>-0.60000000000000009</c:v>
                </c:pt>
                <c:pt idx="5">
                  <c:v>-0.50000000000000011</c:v>
                </c:pt>
                <c:pt idx="6">
                  <c:v>-0.40000000000000013</c:v>
                </c:pt>
                <c:pt idx="7">
                  <c:v>-0.30000000000000016</c:v>
                </c:pt>
                <c:pt idx="8">
                  <c:v>-0.20000000000000015</c:v>
                </c:pt>
                <c:pt idx="9">
                  <c:v>-0.10000000000000014</c:v>
                </c:pt>
                <c:pt idx="10">
                  <c:v>-1.3877787807814457E-16</c:v>
                </c:pt>
                <c:pt idx="11">
                  <c:v>9.9999999999999867E-2</c:v>
                </c:pt>
                <c:pt idx="12">
                  <c:v>0.19999999999999987</c:v>
                </c:pt>
                <c:pt idx="13">
                  <c:v>0.29999999999999988</c:v>
                </c:pt>
                <c:pt idx="14">
                  <c:v>0.39999999999999991</c:v>
                </c:pt>
                <c:pt idx="15">
                  <c:v>0.49999999999999989</c:v>
                </c:pt>
                <c:pt idx="16">
                  <c:v>0.59999999999999987</c:v>
                </c:pt>
                <c:pt idx="17">
                  <c:v>0.69999999999999984</c:v>
                </c:pt>
                <c:pt idx="18">
                  <c:v>0.79999999999999982</c:v>
                </c:pt>
                <c:pt idx="19">
                  <c:v>0.8999999999999998</c:v>
                </c:pt>
                <c:pt idx="20">
                  <c:v>0.99999999999999978</c:v>
                </c:pt>
                <c:pt idx="21">
                  <c:v>1.0999999999999999</c:v>
                </c:pt>
                <c:pt idx="22">
                  <c:v>1.2</c:v>
                </c:pt>
                <c:pt idx="23">
                  <c:v>1.3</c:v>
                </c:pt>
                <c:pt idx="24">
                  <c:v>1.4000000000000001</c:v>
                </c:pt>
                <c:pt idx="25">
                  <c:v>1.5000000000000002</c:v>
                </c:pt>
                <c:pt idx="26">
                  <c:v>1.6000000000000003</c:v>
                </c:pt>
                <c:pt idx="27">
                  <c:v>1.7000000000000004</c:v>
                </c:pt>
                <c:pt idx="28">
                  <c:v>1.8000000000000005</c:v>
                </c:pt>
                <c:pt idx="29">
                  <c:v>1.9000000000000006</c:v>
                </c:pt>
                <c:pt idx="30">
                  <c:v>2.0000000000000004</c:v>
                </c:pt>
                <c:pt idx="31">
                  <c:v>2.1000000000000005</c:v>
                </c:pt>
                <c:pt idx="32">
                  <c:v>2.2000000000000006</c:v>
                </c:pt>
                <c:pt idx="33">
                  <c:v>2.3000000000000007</c:v>
                </c:pt>
                <c:pt idx="34">
                  <c:v>2.4000000000000008</c:v>
                </c:pt>
                <c:pt idx="35">
                  <c:v>2.5000000000000009</c:v>
                </c:pt>
                <c:pt idx="36">
                  <c:v>2.600000000000001</c:v>
                </c:pt>
                <c:pt idx="37">
                  <c:v>2.7000000000000011</c:v>
                </c:pt>
                <c:pt idx="38">
                  <c:v>2.8000000000000012</c:v>
                </c:pt>
                <c:pt idx="39">
                  <c:v>2.9000000000000012</c:v>
                </c:pt>
                <c:pt idx="40">
                  <c:v>3.0000000000000013</c:v>
                </c:pt>
                <c:pt idx="41">
                  <c:v>3.1000000000000014</c:v>
                </c:pt>
                <c:pt idx="42">
                  <c:v>3.2000000000000015</c:v>
                </c:pt>
                <c:pt idx="43">
                  <c:v>3.3000000000000016</c:v>
                </c:pt>
                <c:pt idx="44">
                  <c:v>3.4000000000000017</c:v>
                </c:pt>
                <c:pt idx="45">
                  <c:v>3.5000000000000018</c:v>
                </c:pt>
                <c:pt idx="46">
                  <c:v>3.6000000000000019</c:v>
                </c:pt>
                <c:pt idx="47">
                  <c:v>3.700000000000002</c:v>
                </c:pt>
                <c:pt idx="48">
                  <c:v>3.800000000000002</c:v>
                </c:pt>
                <c:pt idx="49">
                  <c:v>3.9000000000000021</c:v>
                </c:pt>
                <c:pt idx="50">
                  <c:v>4.0000000000000018</c:v>
                </c:pt>
                <c:pt idx="51">
                  <c:v>4.1000000000000014</c:v>
                </c:pt>
                <c:pt idx="52">
                  <c:v>4.2000000000000011</c:v>
                </c:pt>
                <c:pt idx="53">
                  <c:v>4.3000000000000007</c:v>
                </c:pt>
                <c:pt idx="54">
                  <c:v>4.4000000000000004</c:v>
                </c:pt>
                <c:pt idx="55">
                  <c:v>4.5</c:v>
                </c:pt>
                <c:pt idx="56">
                  <c:v>4.5999999999999996</c:v>
                </c:pt>
                <c:pt idx="57">
                  <c:v>4.6999999999999993</c:v>
                </c:pt>
                <c:pt idx="58">
                  <c:v>4.7999999999999989</c:v>
                </c:pt>
                <c:pt idx="59">
                  <c:v>4.8999999999999986</c:v>
                </c:pt>
                <c:pt idx="60">
                  <c:v>4.9999999999999982</c:v>
                </c:pt>
                <c:pt idx="61">
                  <c:v>5.0999999999999979</c:v>
                </c:pt>
                <c:pt idx="62">
                  <c:v>5.1999999999999975</c:v>
                </c:pt>
                <c:pt idx="63">
                  <c:v>5.2999999999999972</c:v>
                </c:pt>
                <c:pt idx="64">
                  <c:v>5.3999999999999968</c:v>
                </c:pt>
                <c:pt idx="65">
                  <c:v>5.4999999999999964</c:v>
                </c:pt>
                <c:pt idx="66">
                  <c:v>5.5999999999999961</c:v>
                </c:pt>
                <c:pt idx="67">
                  <c:v>5.6999999999999957</c:v>
                </c:pt>
                <c:pt idx="68">
                  <c:v>5.7999999999999954</c:v>
                </c:pt>
                <c:pt idx="69">
                  <c:v>5.899999999999995</c:v>
                </c:pt>
                <c:pt idx="70">
                  <c:v>5.9999999999999947</c:v>
                </c:pt>
                <c:pt idx="71">
                  <c:v>6.0999999999999943</c:v>
                </c:pt>
                <c:pt idx="72">
                  <c:v>6.199999999999994</c:v>
                </c:pt>
                <c:pt idx="73">
                  <c:v>6.2999999999999936</c:v>
                </c:pt>
                <c:pt idx="74">
                  <c:v>6.3999999999999932</c:v>
                </c:pt>
                <c:pt idx="75">
                  <c:v>6.4999999999999929</c:v>
                </c:pt>
                <c:pt idx="76">
                  <c:v>6.5999999999999925</c:v>
                </c:pt>
                <c:pt idx="77">
                  <c:v>6.6999999999999922</c:v>
                </c:pt>
                <c:pt idx="78">
                  <c:v>6.7999999999999918</c:v>
                </c:pt>
                <c:pt idx="79">
                  <c:v>6.8999999999999915</c:v>
                </c:pt>
                <c:pt idx="80">
                  <c:v>6.9999999999999911</c:v>
                </c:pt>
                <c:pt idx="81">
                  <c:v>7.0999999999999908</c:v>
                </c:pt>
                <c:pt idx="82">
                  <c:v>7.1999999999999904</c:v>
                </c:pt>
                <c:pt idx="83">
                  <c:v>7.2999999999999901</c:v>
                </c:pt>
                <c:pt idx="84">
                  <c:v>7.3999999999999897</c:v>
                </c:pt>
                <c:pt idx="85">
                  <c:v>7.4999999999999893</c:v>
                </c:pt>
                <c:pt idx="86">
                  <c:v>7.599999999999989</c:v>
                </c:pt>
                <c:pt idx="87">
                  <c:v>7.6999999999999886</c:v>
                </c:pt>
                <c:pt idx="88">
                  <c:v>7.7999999999999883</c:v>
                </c:pt>
                <c:pt idx="89">
                  <c:v>7.8999999999999879</c:v>
                </c:pt>
                <c:pt idx="90">
                  <c:v>7.9999999999999876</c:v>
                </c:pt>
                <c:pt idx="91">
                  <c:v>8.0999999999999872</c:v>
                </c:pt>
                <c:pt idx="92">
                  <c:v>8.1999999999999869</c:v>
                </c:pt>
                <c:pt idx="93">
                  <c:v>8.2999999999999865</c:v>
                </c:pt>
                <c:pt idx="94">
                  <c:v>8.3999999999999861</c:v>
                </c:pt>
                <c:pt idx="95">
                  <c:v>8.4999999999999858</c:v>
                </c:pt>
                <c:pt idx="96">
                  <c:v>8.5999999999999854</c:v>
                </c:pt>
                <c:pt idx="97">
                  <c:v>8.6999999999999851</c:v>
                </c:pt>
                <c:pt idx="98">
                  <c:v>8.7999999999999847</c:v>
                </c:pt>
                <c:pt idx="99">
                  <c:v>8.8999999999999844</c:v>
                </c:pt>
                <c:pt idx="100">
                  <c:v>8.999999999999984</c:v>
                </c:pt>
                <c:pt idx="101">
                  <c:v>9.0999999999999837</c:v>
                </c:pt>
                <c:pt idx="102">
                  <c:v>9.1999999999999833</c:v>
                </c:pt>
                <c:pt idx="103">
                  <c:v>9.2999999999999829</c:v>
                </c:pt>
                <c:pt idx="104">
                  <c:v>9.3999999999999826</c:v>
                </c:pt>
                <c:pt idx="105">
                  <c:v>9.4999999999999822</c:v>
                </c:pt>
                <c:pt idx="106">
                  <c:v>9.5999999999999819</c:v>
                </c:pt>
                <c:pt idx="107">
                  <c:v>9.6999999999999815</c:v>
                </c:pt>
                <c:pt idx="108">
                  <c:v>9.7999999999999812</c:v>
                </c:pt>
                <c:pt idx="109">
                  <c:v>9.8999999999999808</c:v>
                </c:pt>
                <c:pt idx="110">
                  <c:v>9.9999999999999805</c:v>
                </c:pt>
                <c:pt idx="111">
                  <c:v>10.09999999999998</c:v>
                </c:pt>
                <c:pt idx="112">
                  <c:v>10.19999999999998</c:v>
                </c:pt>
                <c:pt idx="113">
                  <c:v>10.299999999999979</c:v>
                </c:pt>
                <c:pt idx="114">
                  <c:v>10.399999999999979</c:v>
                </c:pt>
                <c:pt idx="115">
                  <c:v>10.499999999999979</c:v>
                </c:pt>
                <c:pt idx="116">
                  <c:v>10.599999999999978</c:v>
                </c:pt>
                <c:pt idx="117">
                  <c:v>10.699999999999978</c:v>
                </c:pt>
                <c:pt idx="118">
                  <c:v>10.799999999999978</c:v>
                </c:pt>
                <c:pt idx="119">
                  <c:v>10.899999999999977</c:v>
                </c:pt>
                <c:pt idx="120">
                  <c:v>10.999999999999977</c:v>
                </c:pt>
                <c:pt idx="121">
                  <c:v>11.099999999999977</c:v>
                </c:pt>
                <c:pt idx="122">
                  <c:v>11.199999999999976</c:v>
                </c:pt>
                <c:pt idx="123">
                  <c:v>11.299999999999976</c:v>
                </c:pt>
                <c:pt idx="124">
                  <c:v>11.399999999999975</c:v>
                </c:pt>
                <c:pt idx="125">
                  <c:v>11.499999999999975</c:v>
                </c:pt>
                <c:pt idx="126">
                  <c:v>11.599999999999975</c:v>
                </c:pt>
                <c:pt idx="127">
                  <c:v>11.699999999999974</c:v>
                </c:pt>
                <c:pt idx="128">
                  <c:v>11.799999999999974</c:v>
                </c:pt>
                <c:pt idx="129">
                  <c:v>11.899999999999974</c:v>
                </c:pt>
                <c:pt idx="130">
                  <c:v>11.999999999999973</c:v>
                </c:pt>
                <c:pt idx="131">
                  <c:v>12.099999999999973</c:v>
                </c:pt>
                <c:pt idx="132">
                  <c:v>12.199999999999973</c:v>
                </c:pt>
                <c:pt idx="133">
                  <c:v>12.299999999999972</c:v>
                </c:pt>
                <c:pt idx="134">
                  <c:v>12.399999999999972</c:v>
                </c:pt>
                <c:pt idx="135">
                  <c:v>12.499999999999972</c:v>
                </c:pt>
                <c:pt idx="136">
                  <c:v>12.599999999999971</c:v>
                </c:pt>
                <c:pt idx="137">
                  <c:v>12.699999999999971</c:v>
                </c:pt>
                <c:pt idx="138">
                  <c:v>12.799999999999971</c:v>
                </c:pt>
                <c:pt idx="139">
                  <c:v>12.89999999999997</c:v>
                </c:pt>
                <c:pt idx="140">
                  <c:v>12.99999999999997</c:v>
                </c:pt>
                <c:pt idx="141">
                  <c:v>13.099999999999969</c:v>
                </c:pt>
                <c:pt idx="142">
                  <c:v>13.199999999999969</c:v>
                </c:pt>
                <c:pt idx="143">
                  <c:v>13.299999999999969</c:v>
                </c:pt>
                <c:pt idx="144">
                  <c:v>13.399999999999968</c:v>
                </c:pt>
                <c:pt idx="145">
                  <c:v>13.499999999999968</c:v>
                </c:pt>
                <c:pt idx="146">
                  <c:v>13.599999999999968</c:v>
                </c:pt>
                <c:pt idx="147">
                  <c:v>13.699999999999967</c:v>
                </c:pt>
                <c:pt idx="148">
                  <c:v>13.799999999999967</c:v>
                </c:pt>
                <c:pt idx="149">
                  <c:v>13.899999999999967</c:v>
                </c:pt>
                <c:pt idx="150">
                  <c:v>13.999999999999966</c:v>
                </c:pt>
                <c:pt idx="151">
                  <c:v>14.099999999999966</c:v>
                </c:pt>
                <c:pt idx="152">
                  <c:v>14.199999999999966</c:v>
                </c:pt>
                <c:pt idx="153">
                  <c:v>14.299999999999965</c:v>
                </c:pt>
                <c:pt idx="154">
                  <c:v>14.399999999999965</c:v>
                </c:pt>
                <c:pt idx="155">
                  <c:v>14.499999999999964</c:v>
                </c:pt>
                <c:pt idx="156">
                  <c:v>14.599999999999964</c:v>
                </c:pt>
                <c:pt idx="157">
                  <c:v>14.699999999999964</c:v>
                </c:pt>
                <c:pt idx="158">
                  <c:v>14.799999999999963</c:v>
                </c:pt>
                <c:pt idx="159">
                  <c:v>14.899999999999963</c:v>
                </c:pt>
                <c:pt idx="160">
                  <c:v>14.999999999999963</c:v>
                </c:pt>
              </c:numCache>
            </c:numRef>
          </c:xVal>
          <c:yVal>
            <c:numRef>
              <c:f>AtmDisp!$U$6:$U$166</c:f>
              <c:numCache>
                <c:formatCode>0.0</c:formatCode>
                <c:ptCount val="161"/>
                <c:pt idx="0">
                  <c:v>-58.554885684601786</c:v>
                </c:pt>
                <c:pt idx="1">
                  <c:v>-58.791480331226289</c:v>
                </c:pt>
                <c:pt idx="2">
                  <c:v>-59.012103834875568</c:v>
                </c:pt>
                <c:pt idx="3">
                  <c:v>-59.216712353260448</c:v>
                </c:pt>
                <c:pt idx="4">
                  <c:v>-59.405225500252712</c:v>
                </c:pt>
                <c:pt idx="5">
                  <c:v>-59.577524814902134</c:v>
                </c:pt>
                <c:pt idx="6">
                  <c:v>-59.733452016156576</c:v>
                </c:pt>
                <c:pt idx="7">
                  <c:v>-59.872807020273143</c:v>
                </c:pt>
                <c:pt idx="8">
                  <c:v>-59.99534569527075</c:v>
                </c:pt>
                <c:pt idx="9">
                  <c:v>-60.100777323726419</c:v>
                </c:pt>
                <c:pt idx="10">
                  <c:v>-60.188761741709179</c:v>
                </c:pt>
                <c:pt idx="11">
                  <c:v>-60.258906117622047</c:v>
                </c:pt>
                <c:pt idx="12">
                  <c:v>-60.310761330119917</c:v>
                </c:pt>
                <c:pt idx="13">
                  <c:v>-60.343817899018021</c:v>
                </c:pt>
                <c:pt idx="14">
                  <c:v>-60.357501417121938</c:v>
                </c:pt>
                <c:pt idx="15">
                  <c:v>-60.351167424109597</c:v>
                </c:pt>
                <c:pt idx="16">
                  <c:v>-60.324095655881365</c:v>
                </c:pt>
                <c:pt idx="17">
                  <c:v>-60.275483594070927</c:v>
                </c:pt>
                <c:pt idx="18">
                  <c:v>-60.204439230572461</c:v>
                </c:pt>
                <c:pt idx="19">
                  <c:v>-60.10997295089539</c:v>
                </c:pt>
                <c:pt idx="20">
                  <c:v>-59.990988427822657</c:v>
                </c:pt>
                <c:pt idx="21">
                  <c:v>-59.846272403165578</c:v>
                </c:pt>
                <c:pt idx="22">
                  <c:v>-59.674483220370362</c:v>
                </c:pt>
                <c:pt idx="23">
                  <c:v>-59.474137954407922</c:v>
                </c:pt>
                <c:pt idx="24">
                  <c:v>-59.243597967960447</c:v>
                </c:pt>
                <c:pt idx="25">
                  <c:v>-58.981052704785199</c:v>
                </c:pt>
                <c:pt idx="26">
                  <c:v>-58.684501512943356</c:v>
                </c:pt>
                <c:pt idx="27">
                  <c:v>-58.351733273398345</c:v>
                </c:pt>
                <c:pt idx="28">
                  <c:v>-57.980303594975091</c:v>
                </c:pt>
                <c:pt idx="29">
                  <c:v>-57.567509327354422</c:v>
                </c:pt>
                <c:pt idx="30">
                  <c:v>-57.11036014340479</c:v>
                </c:pt>
                <c:pt idx="31">
                  <c:v>-56.605546956217474</c:v>
                </c:pt>
                <c:pt idx="32">
                  <c:v>-56.049406972649471</c:v>
                </c:pt>
                <c:pt idx="33">
                  <c:v>-55.437885255332681</c:v>
                </c:pt>
                <c:pt idx="34">
                  <c:v>-54.76649278502402</c:v>
                </c:pt>
                <c:pt idx="35">
                  <c:v>-54.030261207290344</c:v>
                </c:pt>
                <c:pt idx="36">
                  <c:v>-53.22369474286041</c:v>
                </c:pt>
                <c:pt idx="37">
                  <c:v>-52.34072018178648</c:v>
                </c:pt>
                <c:pt idx="38">
                  <c:v>-51.374636524375617</c:v>
                </c:pt>
                <c:pt idx="39">
                  <c:v>-50.318066750540886</c:v>
                </c:pt>
                <c:pt idx="40">
                  <c:v>-49.162915487149874</c:v>
                </c:pt>
                <c:pt idx="41">
                  <c:v>-47.900338112453213</c:v>
                </c:pt>
                <c:pt idx="42">
                  <c:v>-46.520729212516365</c:v>
                </c:pt>
                <c:pt idx="43">
                  <c:v>-45.013741405515439</c:v>
                </c:pt>
                <c:pt idx="44">
                  <c:v>-43.368349449045958</c:v>
                </c:pt>
                <c:pt idx="45">
                  <c:v>-41.572979196809499</c:v>
                </c:pt>
                <c:pt idx="46">
                  <c:v>-39.615726082263684</c:v>
                </c:pt>
                <c:pt idx="47">
                  <c:v>-37.48469264744346</c:v>
                </c:pt>
                <c:pt idx="48">
                  <c:v>-35.168477774646327</c:v>
                </c:pt>
                <c:pt idx="49">
                  <c:v>-32.656849300301801</c:v>
                </c:pt>
                <c:pt idx="50">
                  <c:v>-29.941623015159095</c:v>
                </c:pt>
                <c:pt idx="51">
                  <c:v>-27.017750161344001</c:v>
                </c:pt>
                <c:pt idx="52">
                  <c:v>-23.88457803217937</c:v>
                </c:pt>
                <c:pt idx="53">
                  <c:v>-20.547192322339381</c:v>
                </c:pt>
                <c:pt idx="54">
                  <c:v>-17.017680040622867</c:v>
                </c:pt>
                <c:pt idx="55">
                  <c:v>-13.316083291263507</c:v>
                </c:pt>
                <c:pt idx="56">
                  <c:v>-9.4707743714282557</c:v>
                </c:pt>
                <c:pt idx="57">
                  <c:v>-5.518005111338649</c:v>
                </c:pt>
                <c:pt idx="58">
                  <c:v>-1.500492603904799</c:v>
                </c:pt>
                <c:pt idx="59">
                  <c:v>2.5349065106455564</c:v>
                </c:pt>
                <c:pt idx="60">
                  <c:v>6.540158978930835</c:v>
                </c:pt>
                <c:pt idx="61">
                  <c:v>10.469206359737406</c:v>
                </c:pt>
                <c:pt idx="62">
                  <c:v>14.280801927304315</c:v>
                </c:pt>
                <c:pt idx="63">
                  <c:v>17.940619965333095</c:v>
                </c:pt>
                <c:pt idx="64">
                  <c:v>21.4224190883013</c:v>
                </c:pt>
                <c:pt idx="65">
                  <c:v>24.708261921946452</c:v>
                </c:pt>
                <c:pt idx="66">
                  <c:v>27.7879656760269</c:v>
                </c:pt>
                <c:pt idx="67">
                  <c:v>30.658044112095492</c:v>
                </c:pt>
                <c:pt idx="68">
                  <c:v>33.320404835295072</c:v>
                </c:pt>
                <c:pt idx="69">
                  <c:v>35.781015477481922</c:v>
                </c:pt>
                <c:pt idx="70">
                  <c:v>38.048681343417257</c:v>
                </c:pt>
                <c:pt idx="71">
                  <c:v>40.134009853721835</c:v>
                </c:pt>
                <c:pt idx="72">
                  <c:v>42.048585792658798</c:v>
                </c:pt>
                <c:pt idx="73">
                  <c:v>43.804348460933127</c:v>
                </c:pt>
                <c:pt idx="74">
                  <c:v>45.413144529147971</c:v>
                </c:pt>
                <c:pt idx="75">
                  <c:v>46.886424090796702</c:v>
                </c:pt>
                <c:pt idx="76">
                  <c:v>48.235047786080209</c:v>
                </c:pt>
                <c:pt idx="77">
                  <c:v>49.469176630221646</c:v>
                </c:pt>
                <c:pt idx="78">
                  <c:v>50.598221193400924</c:v>
                </c:pt>
                <c:pt idx="79">
                  <c:v>51.630831820716566</c:v>
                </c:pt>
                <c:pt idx="80">
                  <c:v>52.574916054116265</c:v>
                </c:pt>
                <c:pt idx="81">
                  <c:v>53.437673110616203</c:v>
                </c:pt>
                <c:pt idx="82">
                  <c:v>54.225638176258997</c:v>
                </c:pt>
                <c:pt idx="83">
                  <c:v>54.944731483483473</c:v>
                </c:pt>
                <c:pt idx="84">
                  <c:v>55.600308773921178</c:v>
                </c:pt>
                <c:pt idx="85">
                  <c:v>56.197210931817864</c:v>
                </c:pt>
                <c:pt idx="86">
                  <c:v>56.739811413082236</c:v>
                </c:pt>
                <c:pt idx="87">
                  <c:v>57.232060679648164</c:v>
                </c:pt>
                <c:pt idx="88">
                  <c:v>57.677527247556874</c:v>
                </c:pt>
                <c:pt idx="89">
                  <c:v>58.079435222490289</c:v>
                </c:pt>
                <c:pt idx="90">
                  <c:v>58.440698367507487</c:v>
                </c:pt>
                <c:pt idx="91">
                  <c:v>58.763950853033919</c:v>
                </c:pt>
                <c:pt idx="92">
                  <c:v>59.051574899340558</c:v>
                </c:pt>
                <c:pt idx="93">
                  <c:v>59.305725551521228</c:v>
                </c:pt>
                <c:pt idx="94">
                  <c:v>59.528352836691582</c:v>
                </c:pt>
                <c:pt idx="95">
                  <c:v>59.721221550022996</c:v>
                </c:pt>
                <c:pt idx="96">
                  <c:v>59.885928905272294</c:v>
                </c:pt>
                <c:pt idx="97">
                  <c:v>60.023920270070441</c:v>
                </c:pt>
                <c:pt idx="98">
                  <c:v>60.136503188658963</c:v>
                </c:pt>
                <c:pt idx="99">
                  <c:v>60.224859876503722</c:v>
                </c:pt>
                <c:pt idx="100">
                  <c:v>60.290058353215805</c:v>
                </c:pt>
                <c:pt idx="101">
                  <c:v>60.33306236304557</c:v>
                </c:pt>
                <c:pt idx="102">
                  <c:v>60.354740216208675</c:v>
                </c:pt>
                <c:pt idx="103">
                  <c:v>60.355872669610811</c:v>
                </c:pt>
                <c:pt idx="104">
                  <c:v>60.337159952203201</c:v>
                </c:pt>
                <c:pt idx="105">
                  <c:v>60.2992280282037</c:v>
                </c:pt>
                <c:pt idx="106">
                  <c:v>60.24263418069264</c:v>
                </c:pt>
                <c:pt idx="107">
                  <c:v>60.16787198855048</c:v>
                </c:pt>
                <c:pt idx="108">
                  <c:v>60.07537576124917</c:v>
                </c:pt>
                <c:pt idx="109">
                  <c:v>59.965524488539238</c:v>
                </c:pt>
                <c:pt idx="110">
                  <c:v>59.838645355491629</c:v>
                </c:pt>
                <c:pt idx="111">
                  <c:v>59.695016867565769</c:v>
                </c:pt>
                <c:pt idx="112">
                  <c:v>59.534871625295779</c:v>
                </c:pt>
                <c:pt idx="113">
                  <c:v>59.35839878373983</c:v>
                </c:pt>
                <c:pt idx="114">
                  <c:v>59.165746227951402</c:v>
                </c:pt>
                <c:pt idx="115">
                  <c:v>58.957022492346816</c:v>
                </c:pt>
                <c:pt idx="116">
                  <c:v>58.732298448903897</c:v>
                </c:pt>
                <c:pt idx="117">
                  <c:v>58.491608786588678</c:v>
                </c:pt>
                <c:pt idx="118">
                  <c:v>58.234953302226785</c:v>
                </c:pt>
                <c:pt idx="119">
                  <c:v>57.962298021182328</c:v>
                </c:pt>
                <c:pt idx="120">
                  <c:v>57.673576164649077</c:v>
                </c:pt>
                <c:pt idx="121">
                  <c:v>57.368688979074101</c:v>
                </c:pt>
                <c:pt idx="122">
                  <c:v>57.047506442202874</c:v>
                </c:pt>
                <c:pt idx="123">
                  <c:v>56.709867859442319</c:v>
                </c:pt>
                <c:pt idx="124">
                  <c:v>56.355582363675154</c:v>
                </c:pt>
                <c:pt idx="125">
                  <c:v>55.984429331314558</c:v>
                </c:pt>
                <c:pt idx="126">
                  <c:v>55.596158727262022</c:v>
                </c:pt>
                <c:pt idx="127">
                  <c:v>55.190491391519615</c:v>
                </c:pt>
                <c:pt idx="128">
                  <c:v>54.767119280513455</c:v>
                </c:pt>
                <c:pt idx="129">
                  <c:v>54.325705676712325</c:v>
                </c:pt>
                <c:pt idx="130">
                  <c:v>53.865885380878773</c:v>
                </c:pt>
                <c:pt idx="131">
                  <c:v>53.387264902279775</c:v>
                </c:pt>
                <c:pt idx="132">
                  <c:v>52.889422663416831</c:v>
                </c:pt>
                <c:pt idx="133">
                  <c:v>52.371909237323003</c:v>
                </c:pt>
                <c:pt idx="134">
                  <c:v>51.83424763722536</c:v>
                </c:pt>
                <c:pt idx="135">
                  <c:v>51.275933680394658</c:v>
                </c:pt>
                <c:pt idx="136">
                  <c:v>50.696436450306159</c:v>
                </c:pt>
                <c:pt idx="137">
                  <c:v>50.095198883818973</c:v>
                </c:pt>
                <c:pt idx="138">
                  <c:v>49.471638512942938</c:v>
                </c:pt>
                <c:pt idx="139">
                  <c:v>48.825148393890686</c:v>
                </c:pt>
                <c:pt idx="140">
                  <c:v>48.155098259486572</c:v>
                </c:pt>
                <c:pt idx="141">
                  <c:v>47.460835934585958</c:v>
                </c:pt>
                <c:pt idx="142">
                  <c:v>46.741689057895215</c:v>
                </c:pt>
                <c:pt idx="143">
                  <c:v>45.996967157393485</c:v>
                </c:pt>
                <c:pt idx="144">
                  <c:v>45.225964130337886</c:v>
                </c:pt>
                <c:pt idx="145">
                  <c:v>44.427961182440875</c:v>
                </c:pt>
                <c:pt idx="146">
                  <c:v>43.602230284059353</c:v>
                </c:pt>
                <c:pt idx="147">
                  <c:v>42.748038203899533</c:v>
                </c:pt>
                <c:pt idx="148">
                  <c:v>41.86465118253215</c:v>
                </c:pt>
                <c:pt idx="149">
                  <c:v>40.951340308585863</c:v>
                </c:pt>
                <c:pt idx="150">
                  <c:v>40.007387659430684</c:v>
                </c:pt>
                <c:pt idx="151">
                  <c:v>39.032093265001357</c:v>
                </c:pt>
                <c:pt idx="152">
                  <c:v>38.024782947606717</c:v>
                </c:pt>
                <c:pt idx="153">
                  <c:v>36.984817081532391</c:v>
                </c:pt>
                <c:pt idx="154">
                  <c:v>35.911600303340926</c:v>
                </c:pt>
                <c:pt idx="155">
                  <c:v>34.804592186373306</c:v>
                </c:pt>
                <c:pt idx="156">
                  <c:v>33.663318870448627</c:v>
                </c:pt>
                <c:pt idx="157">
                  <c:v>32.487385609633677</c:v>
                </c:pt>
                <c:pt idx="158">
                  <c:v>31.276490166845196</c:v>
                </c:pt>
                <c:pt idx="159">
                  <c:v>30.030436943840794</c:v>
                </c:pt>
                <c:pt idx="160">
                  <c:v>28.749151689079056</c:v>
                </c:pt>
              </c:numCache>
            </c:numRef>
          </c:yVal>
          <c:smooth val="1"/>
          <c:extLst>
            <c:ext xmlns:c16="http://schemas.microsoft.com/office/drawing/2014/chart" uri="{C3380CC4-5D6E-409C-BE32-E72D297353CC}">
              <c16:uniqueId val="{00000004-FFDD-9344-B7EA-A1B549884D32}"/>
            </c:ext>
          </c:extLst>
        </c:ser>
        <c:ser>
          <c:idx val="5"/>
          <c:order val="2"/>
          <c:tx>
            <c:v>PA-180</c:v>
          </c:tx>
          <c:spPr>
            <a:ln w="12700">
              <a:solidFill>
                <a:srgbClr val="0070C0"/>
              </a:solidFill>
              <a:prstDash val="dash"/>
            </a:ln>
          </c:spPr>
          <c:marker>
            <c:symbol val="none"/>
          </c:marker>
          <c:xVal>
            <c:numRef>
              <c:f>AtmDisp!$P$6:$P$166</c:f>
              <c:numCache>
                <c:formatCode>0.00</c:formatCode>
                <c:ptCount val="161"/>
                <c:pt idx="0">
                  <c:v>-1</c:v>
                </c:pt>
                <c:pt idx="1">
                  <c:v>-0.9</c:v>
                </c:pt>
                <c:pt idx="2">
                  <c:v>-0.8</c:v>
                </c:pt>
                <c:pt idx="3">
                  <c:v>-0.70000000000000007</c:v>
                </c:pt>
                <c:pt idx="4">
                  <c:v>-0.60000000000000009</c:v>
                </c:pt>
                <c:pt idx="5">
                  <c:v>-0.50000000000000011</c:v>
                </c:pt>
                <c:pt idx="6">
                  <c:v>-0.40000000000000013</c:v>
                </c:pt>
                <c:pt idx="7">
                  <c:v>-0.30000000000000016</c:v>
                </c:pt>
                <c:pt idx="8">
                  <c:v>-0.20000000000000015</c:v>
                </c:pt>
                <c:pt idx="9">
                  <c:v>-0.10000000000000014</c:v>
                </c:pt>
                <c:pt idx="10">
                  <c:v>-1.3877787807814457E-16</c:v>
                </c:pt>
                <c:pt idx="11">
                  <c:v>9.9999999999999867E-2</c:v>
                </c:pt>
                <c:pt idx="12">
                  <c:v>0.19999999999999987</c:v>
                </c:pt>
                <c:pt idx="13">
                  <c:v>0.29999999999999988</c:v>
                </c:pt>
                <c:pt idx="14">
                  <c:v>0.39999999999999991</c:v>
                </c:pt>
                <c:pt idx="15">
                  <c:v>0.49999999999999989</c:v>
                </c:pt>
                <c:pt idx="16">
                  <c:v>0.59999999999999987</c:v>
                </c:pt>
                <c:pt idx="17">
                  <c:v>0.69999999999999984</c:v>
                </c:pt>
                <c:pt idx="18">
                  <c:v>0.79999999999999982</c:v>
                </c:pt>
                <c:pt idx="19">
                  <c:v>0.8999999999999998</c:v>
                </c:pt>
                <c:pt idx="20">
                  <c:v>0.99999999999999978</c:v>
                </c:pt>
                <c:pt idx="21">
                  <c:v>1.0999999999999999</c:v>
                </c:pt>
                <c:pt idx="22">
                  <c:v>1.2</c:v>
                </c:pt>
                <c:pt idx="23">
                  <c:v>1.3</c:v>
                </c:pt>
                <c:pt idx="24">
                  <c:v>1.4000000000000001</c:v>
                </c:pt>
                <c:pt idx="25">
                  <c:v>1.5000000000000002</c:v>
                </c:pt>
                <c:pt idx="26">
                  <c:v>1.6000000000000003</c:v>
                </c:pt>
                <c:pt idx="27">
                  <c:v>1.7000000000000004</c:v>
                </c:pt>
                <c:pt idx="28">
                  <c:v>1.8000000000000005</c:v>
                </c:pt>
                <c:pt idx="29">
                  <c:v>1.9000000000000006</c:v>
                </c:pt>
                <c:pt idx="30">
                  <c:v>2.0000000000000004</c:v>
                </c:pt>
                <c:pt idx="31">
                  <c:v>2.1000000000000005</c:v>
                </c:pt>
                <c:pt idx="32">
                  <c:v>2.2000000000000006</c:v>
                </c:pt>
                <c:pt idx="33">
                  <c:v>2.3000000000000007</c:v>
                </c:pt>
                <c:pt idx="34">
                  <c:v>2.4000000000000008</c:v>
                </c:pt>
                <c:pt idx="35">
                  <c:v>2.5000000000000009</c:v>
                </c:pt>
                <c:pt idx="36">
                  <c:v>2.600000000000001</c:v>
                </c:pt>
                <c:pt idx="37">
                  <c:v>2.7000000000000011</c:v>
                </c:pt>
                <c:pt idx="38">
                  <c:v>2.8000000000000012</c:v>
                </c:pt>
                <c:pt idx="39">
                  <c:v>2.9000000000000012</c:v>
                </c:pt>
                <c:pt idx="40">
                  <c:v>3.0000000000000013</c:v>
                </c:pt>
                <c:pt idx="41">
                  <c:v>3.1000000000000014</c:v>
                </c:pt>
                <c:pt idx="42">
                  <c:v>3.2000000000000015</c:v>
                </c:pt>
                <c:pt idx="43">
                  <c:v>3.3000000000000016</c:v>
                </c:pt>
                <c:pt idx="44">
                  <c:v>3.4000000000000017</c:v>
                </c:pt>
                <c:pt idx="45">
                  <c:v>3.5000000000000018</c:v>
                </c:pt>
                <c:pt idx="46">
                  <c:v>3.6000000000000019</c:v>
                </c:pt>
                <c:pt idx="47">
                  <c:v>3.700000000000002</c:v>
                </c:pt>
                <c:pt idx="48">
                  <c:v>3.800000000000002</c:v>
                </c:pt>
                <c:pt idx="49">
                  <c:v>3.9000000000000021</c:v>
                </c:pt>
                <c:pt idx="50">
                  <c:v>4.0000000000000018</c:v>
                </c:pt>
                <c:pt idx="51">
                  <c:v>4.1000000000000014</c:v>
                </c:pt>
                <c:pt idx="52">
                  <c:v>4.2000000000000011</c:v>
                </c:pt>
                <c:pt idx="53">
                  <c:v>4.3000000000000007</c:v>
                </c:pt>
                <c:pt idx="54">
                  <c:v>4.4000000000000004</c:v>
                </c:pt>
                <c:pt idx="55">
                  <c:v>4.5</c:v>
                </c:pt>
                <c:pt idx="56">
                  <c:v>4.5999999999999996</c:v>
                </c:pt>
                <c:pt idx="57">
                  <c:v>4.6999999999999993</c:v>
                </c:pt>
                <c:pt idx="58">
                  <c:v>4.7999999999999989</c:v>
                </c:pt>
                <c:pt idx="59">
                  <c:v>4.8999999999999986</c:v>
                </c:pt>
                <c:pt idx="60">
                  <c:v>4.9999999999999982</c:v>
                </c:pt>
                <c:pt idx="61">
                  <c:v>5.0999999999999979</c:v>
                </c:pt>
                <c:pt idx="62">
                  <c:v>5.1999999999999975</c:v>
                </c:pt>
                <c:pt idx="63">
                  <c:v>5.2999999999999972</c:v>
                </c:pt>
                <c:pt idx="64">
                  <c:v>5.3999999999999968</c:v>
                </c:pt>
                <c:pt idx="65">
                  <c:v>5.4999999999999964</c:v>
                </c:pt>
                <c:pt idx="66">
                  <c:v>5.5999999999999961</c:v>
                </c:pt>
                <c:pt idx="67">
                  <c:v>5.6999999999999957</c:v>
                </c:pt>
                <c:pt idx="68">
                  <c:v>5.7999999999999954</c:v>
                </c:pt>
                <c:pt idx="69">
                  <c:v>5.899999999999995</c:v>
                </c:pt>
                <c:pt idx="70">
                  <c:v>5.9999999999999947</c:v>
                </c:pt>
                <c:pt idx="71">
                  <c:v>6.0999999999999943</c:v>
                </c:pt>
                <c:pt idx="72">
                  <c:v>6.199999999999994</c:v>
                </c:pt>
                <c:pt idx="73">
                  <c:v>6.2999999999999936</c:v>
                </c:pt>
                <c:pt idx="74">
                  <c:v>6.3999999999999932</c:v>
                </c:pt>
                <c:pt idx="75">
                  <c:v>6.4999999999999929</c:v>
                </c:pt>
                <c:pt idx="76">
                  <c:v>6.5999999999999925</c:v>
                </c:pt>
                <c:pt idx="77">
                  <c:v>6.6999999999999922</c:v>
                </c:pt>
                <c:pt idx="78">
                  <c:v>6.7999999999999918</c:v>
                </c:pt>
                <c:pt idx="79">
                  <c:v>6.8999999999999915</c:v>
                </c:pt>
                <c:pt idx="80">
                  <c:v>6.9999999999999911</c:v>
                </c:pt>
                <c:pt idx="81">
                  <c:v>7.0999999999999908</c:v>
                </c:pt>
                <c:pt idx="82">
                  <c:v>7.1999999999999904</c:v>
                </c:pt>
                <c:pt idx="83">
                  <c:v>7.2999999999999901</c:v>
                </c:pt>
                <c:pt idx="84">
                  <c:v>7.3999999999999897</c:v>
                </c:pt>
                <c:pt idx="85">
                  <c:v>7.4999999999999893</c:v>
                </c:pt>
                <c:pt idx="86">
                  <c:v>7.599999999999989</c:v>
                </c:pt>
                <c:pt idx="87">
                  <c:v>7.6999999999999886</c:v>
                </c:pt>
                <c:pt idx="88">
                  <c:v>7.7999999999999883</c:v>
                </c:pt>
                <c:pt idx="89">
                  <c:v>7.8999999999999879</c:v>
                </c:pt>
                <c:pt idx="90">
                  <c:v>7.9999999999999876</c:v>
                </c:pt>
                <c:pt idx="91">
                  <c:v>8.0999999999999872</c:v>
                </c:pt>
                <c:pt idx="92">
                  <c:v>8.1999999999999869</c:v>
                </c:pt>
                <c:pt idx="93">
                  <c:v>8.2999999999999865</c:v>
                </c:pt>
                <c:pt idx="94">
                  <c:v>8.3999999999999861</c:v>
                </c:pt>
                <c:pt idx="95">
                  <c:v>8.4999999999999858</c:v>
                </c:pt>
                <c:pt idx="96">
                  <c:v>8.5999999999999854</c:v>
                </c:pt>
                <c:pt idx="97">
                  <c:v>8.6999999999999851</c:v>
                </c:pt>
                <c:pt idx="98">
                  <c:v>8.7999999999999847</c:v>
                </c:pt>
                <c:pt idx="99">
                  <c:v>8.8999999999999844</c:v>
                </c:pt>
                <c:pt idx="100">
                  <c:v>8.999999999999984</c:v>
                </c:pt>
                <c:pt idx="101">
                  <c:v>9.0999999999999837</c:v>
                </c:pt>
                <c:pt idx="102">
                  <c:v>9.1999999999999833</c:v>
                </c:pt>
                <c:pt idx="103">
                  <c:v>9.2999999999999829</c:v>
                </c:pt>
                <c:pt idx="104">
                  <c:v>9.3999999999999826</c:v>
                </c:pt>
                <c:pt idx="105">
                  <c:v>9.4999999999999822</c:v>
                </c:pt>
                <c:pt idx="106">
                  <c:v>9.5999999999999819</c:v>
                </c:pt>
                <c:pt idx="107">
                  <c:v>9.6999999999999815</c:v>
                </c:pt>
                <c:pt idx="108">
                  <c:v>9.7999999999999812</c:v>
                </c:pt>
                <c:pt idx="109">
                  <c:v>9.8999999999999808</c:v>
                </c:pt>
                <c:pt idx="110">
                  <c:v>9.9999999999999805</c:v>
                </c:pt>
                <c:pt idx="111">
                  <c:v>10.09999999999998</c:v>
                </c:pt>
                <c:pt idx="112">
                  <c:v>10.19999999999998</c:v>
                </c:pt>
                <c:pt idx="113">
                  <c:v>10.299999999999979</c:v>
                </c:pt>
                <c:pt idx="114">
                  <c:v>10.399999999999979</c:v>
                </c:pt>
                <c:pt idx="115">
                  <c:v>10.499999999999979</c:v>
                </c:pt>
                <c:pt idx="116">
                  <c:v>10.599999999999978</c:v>
                </c:pt>
                <c:pt idx="117">
                  <c:v>10.699999999999978</c:v>
                </c:pt>
                <c:pt idx="118">
                  <c:v>10.799999999999978</c:v>
                </c:pt>
                <c:pt idx="119">
                  <c:v>10.899999999999977</c:v>
                </c:pt>
                <c:pt idx="120">
                  <c:v>10.999999999999977</c:v>
                </c:pt>
                <c:pt idx="121">
                  <c:v>11.099999999999977</c:v>
                </c:pt>
                <c:pt idx="122">
                  <c:v>11.199999999999976</c:v>
                </c:pt>
                <c:pt idx="123">
                  <c:v>11.299999999999976</c:v>
                </c:pt>
                <c:pt idx="124">
                  <c:v>11.399999999999975</c:v>
                </c:pt>
                <c:pt idx="125">
                  <c:v>11.499999999999975</c:v>
                </c:pt>
                <c:pt idx="126">
                  <c:v>11.599999999999975</c:v>
                </c:pt>
                <c:pt idx="127">
                  <c:v>11.699999999999974</c:v>
                </c:pt>
                <c:pt idx="128">
                  <c:v>11.799999999999974</c:v>
                </c:pt>
                <c:pt idx="129">
                  <c:v>11.899999999999974</c:v>
                </c:pt>
                <c:pt idx="130">
                  <c:v>11.999999999999973</c:v>
                </c:pt>
                <c:pt idx="131">
                  <c:v>12.099999999999973</c:v>
                </c:pt>
                <c:pt idx="132">
                  <c:v>12.199999999999973</c:v>
                </c:pt>
                <c:pt idx="133">
                  <c:v>12.299999999999972</c:v>
                </c:pt>
                <c:pt idx="134">
                  <c:v>12.399999999999972</c:v>
                </c:pt>
                <c:pt idx="135">
                  <c:v>12.499999999999972</c:v>
                </c:pt>
                <c:pt idx="136">
                  <c:v>12.599999999999971</c:v>
                </c:pt>
                <c:pt idx="137">
                  <c:v>12.699999999999971</c:v>
                </c:pt>
                <c:pt idx="138">
                  <c:v>12.799999999999971</c:v>
                </c:pt>
                <c:pt idx="139">
                  <c:v>12.89999999999997</c:v>
                </c:pt>
                <c:pt idx="140">
                  <c:v>12.99999999999997</c:v>
                </c:pt>
                <c:pt idx="141">
                  <c:v>13.099999999999969</c:v>
                </c:pt>
                <c:pt idx="142">
                  <c:v>13.199999999999969</c:v>
                </c:pt>
                <c:pt idx="143">
                  <c:v>13.299999999999969</c:v>
                </c:pt>
                <c:pt idx="144">
                  <c:v>13.399999999999968</c:v>
                </c:pt>
                <c:pt idx="145">
                  <c:v>13.499999999999968</c:v>
                </c:pt>
                <c:pt idx="146">
                  <c:v>13.599999999999968</c:v>
                </c:pt>
                <c:pt idx="147">
                  <c:v>13.699999999999967</c:v>
                </c:pt>
                <c:pt idx="148">
                  <c:v>13.799999999999967</c:v>
                </c:pt>
                <c:pt idx="149">
                  <c:v>13.899999999999967</c:v>
                </c:pt>
                <c:pt idx="150">
                  <c:v>13.999999999999966</c:v>
                </c:pt>
                <c:pt idx="151">
                  <c:v>14.099999999999966</c:v>
                </c:pt>
                <c:pt idx="152">
                  <c:v>14.199999999999966</c:v>
                </c:pt>
                <c:pt idx="153">
                  <c:v>14.299999999999965</c:v>
                </c:pt>
                <c:pt idx="154">
                  <c:v>14.399999999999965</c:v>
                </c:pt>
                <c:pt idx="155">
                  <c:v>14.499999999999964</c:v>
                </c:pt>
                <c:pt idx="156">
                  <c:v>14.599999999999964</c:v>
                </c:pt>
                <c:pt idx="157">
                  <c:v>14.699999999999964</c:v>
                </c:pt>
                <c:pt idx="158">
                  <c:v>14.799999999999963</c:v>
                </c:pt>
                <c:pt idx="159">
                  <c:v>14.899999999999963</c:v>
                </c:pt>
                <c:pt idx="160">
                  <c:v>14.999999999999963</c:v>
                </c:pt>
              </c:numCache>
            </c:numRef>
          </c:xVal>
          <c:yVal>
            <c:numRef>
              <c:f>AtmDisp!$V$6:$V$166</c:f>
              <c:numCache>
                <c:formatCode>0.0</c:formatCode>
                <c:ptCount val="161"/>
                <c:pt idx="0">
                  <c:v>121.44511431539821</c:v>
                </c:pt>
                <c:pt idx="1">
                  <c:v>121.2085196687737</c:v>
                </c:pt>
                <c:pt idx="2">
                  <c:v>120.98789616512443</c:v>
                </c:pt>
                <c:pt idx="3">
                  <c:v>120.78328764673955</c:v>
                </c:pt>
                <c:pt idx="4">
                  <c:v>120.59477449974729</c:v>
                </c:pt>
                <c:pt idx="5">
                  <c:v>120.42247518509787</c:v>
                </c:pt>
                <c:pt idx="6">
                  <c:v>120.26654798384342</c:v>
                </c:pt>
                <c:pt idx="7">
                  <c:v>120.12719297972686</c:v>
                </c:pt>
                <c:pt idx="8">
                  <c:v>120.00465430472926</c:v>
                </c:pt>
                <c:pt idx="9">
                  <c:v>119.89922267627358</c:v>
                </c:pt>
                <c:pt idx="10">
                  <c:v>119.81123825829081</c:v>
                </c:pt>
                <c:pt idx="11">
                  <c:v>119.74109388237795</c:v>
                </c:pt>
                <c:pt idx="12">
                  <c:v>119.68923866988008</c:v>
                </c:pt>
                <c:pt idx="13">
                  <c:v>119.65618210098198</c:v>
                </c:pt>
                <c:pt idx="14">
                  <c:v>119.64249858287806</c:v>
                </c:pt>
                <c:pt idx="15">
                  <c:v>119.6488325758904</c:v>
                </c:pt>
                <c:pt idx="16">
                  <c:v>119.67590434411863</c:v>
                </c:pt>
                <c:pt idx="17">
                  <c:v>119.72451640592908</c:v>
                </c:pt>
                <c:pt idx="18">
                  <c:v>119.79556076942754</c:v>
                </c:pt>
                <c:pt idx="19">
                  <c:v>119.89002704910462</c:v>
                </c:pt>
                <c:pt idx="20">
                  <c:v>120.00901157217734</c:v>
                </c:pt>
                <c:pt idx="21">
                  <c:v>120.15372759683441</c:v>
                </c:pt>
                <c:pt idx="22">
                  <c:v>120.32551677962964</c:v>
                </c:pt>
                <c:pt idx="23">
                  <c:v>120.52586204559208</c:v>
                </c:pt>
                <c:pt idx="24">
                  <c:v>120.75640203203955</c:v>
                </c:pt>
                <c:pt idx="25">
                  <c:v>121.0189472952148</c:v>
                </c:pt>
                <c:pt idx="26">
                  <c:v>121.31549848705664</c:v>
                </c:pt>
                <c:pt idx="27">
                  <c:v>121.64826672660166</c:v>
                </c:pt>
                <c:pt idx="28">
                  <c:v>122.01969640502492</c:v>
                </c:pt>
                <c:pt idx="29">
                  <c:v>122.43249067264557</c:v>
                </c:pt>
                <c:pt idx="30">
                  <c:v>122.88963985659521</c:v>
                </c:pt>
                <c:pt idx="31">
                  <c:v>123.39445304378253</c:v>
                </c:pt>
                <c:pt idx="32">
                  <c:v>123.95059302735052</c:v>
                </c:pt>
                <c:pt idx="33">
                  <c:v>124.56211474466733</c:v>
                </c:pt>
                <c:pt idx="34">
                  <c:v>125.23350721497599</c:v>
                </c:pt>
                <c:pt idx="35">
                  <c:v>125.96973879270965</c:v>
                </c:pt>
                <c:pt idx="36">
                  <c:v>126.7763052571396</c:v>
                </c:pt>
                <c:pt idx="37">
                  <c:v>127.65927981821352</c:v>
                </c:pt>
                <c:pt idx="38">
                  <c:v>128.6253634756244</c:v>
                </c:pt>
                <c:pt idx="39">
                  <c:v>129.68193324945912</c:v>
                </c:pt>
                <c:pt idx="40">
                  <c:v>130.83708451285014</c:v>
                </c:pt>
                <c:pt idx="41">
                  <c:v>132.0996618875468</c:v>
                </c:pt>
                <c:pt idx="42">
                  <c:v>133.47927078748364</c:v>
                </c:pt>
                <c:pt idx="43">
                  <c:v>134.98625859448455</c:v>
                </c:pt>
                <c:pt idx="44">
                  <c:v>136.63165055095405</c:v>
                </c:pt>
                <c:pt idx="45">
                  <c:v>138.42702080319049</c:v>
                </c:pt>
                <c:pt idx="46">
                  <c:v>140.38427391773632</c:v>
                </c:pt>
                <c:pt idx="47">
                  <c:v>142.51530735255653</c:v>
                </c:pt>
                <c:pt idx="48">
                  <c:v>144.83152222535367</c:v>
                </c:pt>
                <c:pt idx="49">
                  <c:v>147.34315069969819</c:v>
                </c:pt>
                <c:pt idx="50">
                  <c:v>150.05837698484089</c:v>
                </c:pt>
                <c:pt idx="51">
                  <c:v>152.982249838656</c:v>
                </c:pt>
                <c:pt idx="52">
                  <c:v>156.11542196782062</c:v>
                </c:pt>
                <c:pt idx="53">
                  <c:v>159.45280767766062</c:v>
                </c:pt>
                <c:pt idx="54">
                  <c:v>162.98231995937712</c:v>
                </c:pt>
                <c:pt idx="55">
                  <c:v>166.68391670873649</c:v>
                </c:pt>
                <c:pt idx="56">
                  <c:v>170.52922562857174</c:v>
                </c:pt>
                <c:pt idx="57">
                  <c:v>174.48199488866135</c:v>
                </c:pt>
                <c:pt idx="58">
                  <c:v>178.4995073960952</c:v>
                </c:pt>
                <c:pt idx="59">
                  <c:v>-177.46509348935444</c:v>
                </c:pt>
                <c:pt idx="60">
                  <c:v>-173.45984102106917</c:v>
                </c:pt>
                <c:pt idx="61">
                  <c:v>-169.5307936402626</c:v>
                </c:pt>
                <c:pt idx="62">
                  <c:v>-165.71919807269569</c:v>
                </c:pt>
                <c:pt idx="63">
                  <c:v>-162.0593800346669</c:v>
                </c:pt>
                <c:pt idx="64">
                  <c:v>-158.5775809116987</c:v>
                </c:pt>
                <c:pt idx="65">
                  <c:v>-155.29173807805356</c:v>
                </c:pt>
                <c:pt idx="66">
                  <c:v>-152.21203432397311</c:v>
                </c:pt>
                <c:pt idx="67">
                  <c:v>-149.3419558879045</c:v>
                </c:pt>
                <c:pt idx="68">
                  <c:v>-146.67959516470492</c:v>
                </c:pt>
                <c:pt idx="69">
                  <c:v>-144.21898452251807</c:v>
                </c:pt>
                <c:pt idx="70">
                  <c:v>-141.95131865658274</c:v>
                </c:pt>
                <c:pt idx="71">
                  <c:v>-139.86599014627816</c:v>
                </c:pt>
                <c:pt idx="72">
                  <c:v>-137.9514142073412</c:v>
                </c:pt>
                <c:pt idx="73">
                  <c:v>-136.19565153906689</c:v>
                </c:pt>
                <c:pt idx="74">
                  <c:v>-134.58685547085202</c:v>
                </c:pt>
                <c:pt idx="75">
                  <c:v>-133.11357590920329</c:v>
                </c:pt>
                <c:pt idx="76">
                  <c:v>-131.7649522139198</c:v>
                </c:pt>
                <c:pt idx="77">
                  <c:v>-130.53082336977835</c:v>
                </c:pt>
                <c:pt idx="78">
                  <c:v>-129.40177880659908</c:v>
                </c:pt>
                <c:pt idx="79">
                  <c:v>-128.36916817928343</c:v>
                </c:pt>
                <c:pt idx="80">
                  <c:v>-127.42508394588373</c:v>
                </c:pt>
                <c:pt idx="81">
                  <c:v>-126.5623268893838</c:v>
                </c:pt>
                <c:pt idx="82">
                  <c:v>-125.774361823741</c:v>
                </c:pt>
                <c:pt idx="83">
                  <c:v>-125.05526851651652</c:v>
                </c:pt>
                <c:pt idx="84">
                  <c:v>-124.39969122607883</c:v>
                </c:pt>
                <c:pt idx="85">
                  <c:v>-123.80278906818214</c:v>
                </c:pt>
                <c:pt idx="86">
                  <c:v>-123.26018858691776</c:v>
                </c:pt>
                <c:pt idx="87">
                  <c:v>-122.76793932035184</c:v>
                </c:pt>
                <c:pt idx="88">
                  <c:v>-122.32247275244313</c:v>
                </c:pt>
                <c:pt idx="89">
                  <c:v>-121.92056477750971</c:v>
                </c:pt>
                <c:pt idx="90">
                  <c:v>-121.55930163249252</c:v>
                </c:pt>
                <c:pt idx="91">
                  <c:v>-121.23604914696608</c:v>
                </c:pt>
                <c:pt idx="92">
                  <c:v>-120.94842510065945</c:v>
                </c:pt>
                <c:pt idx="93">
                  <c:v>-120.69427444847878</c:v>
                </c:pt>
                <c:pt idx="94">
                  <c:v>-120.47164716330842</c:v>
                </c:pt>
                <c:pt idx="95">
                  <c:v>-120.27877844997701</c:v>
                </c:pt>
                <c:pt idx="96">
                  <c:v>-120.11407109472771</c:v>
                </c:pt>
                <c:pt idx="97">
                  <c:v>-119.97607972992955</c:v>
                </c:pt>
                <c:pt idx="98">
                  <c:v>-119.86349681134104</c:v>
                </c:pt>
                <c:pt idx="99">
                  <c:v>-119.77514012349627</c:v>
                </c:pt>
                <c:pt idx="100">
                  <c:v>-119.70994164678419</c:v>
                </c:pt>
                <c:pt idx="101">
                  <c:v>-119.66693763695443</c:v>
                </c:pt>
                <c:pt idx="102">
                  <c:v>-119.64525978379132</c:v>
                </c:pt>
                <c:pt idx="103">
                  <c:v>-119.64412733038918</c:v>
                </c:pt>
                <c:pt idx="104">
                  <c:v>-119.66284004779681</c:v>
                </c:pt>
                <c:pt idx="105">
                  <c:v>-119.7007719717963</c:v>
                </c:pt>
                <c:pt idx="106">
                  <c:v>-119.75736581930735</c:v>
                </c:pt>
                <c:pt idx="107">
                  <c:v>-119.83212801144953</c:v>
                </c:pt>
                <c:pt idx="108">
                  <c:v>-119.92462423875082</c:v>
                </c:pt>
                <c:pt idx="109">
                  <c:v>-120.03447551146076</c:v>
                </c:pt>
                <c:pt idx="110">
                  <c:v>-120.16135464450838</c:v>
                </c:pt>
                <c:pt idx="111">
                  <c:v>-120.30498313243423</c:v>
                </c:pt>
                <c:pt idx="112">
                  <c:v>-120.46512837470422</c:v>
                </c:pt>
                <c:pt idx="113">
                  <c:v>-120.64160121626017</c:v>
                </c:pt>
                <c:pt idx="114">
                  <c:v>-120.8342537720486</c:v>
                </c:pt>
                <c:pt idx="115">
                  <c:v>-121.04297750765318</c:v>
                </c:pt>
                <c:pt idx="116">
                  <c:v>-121.26770155109611</c:v>
                </c:pt>
                <c:pt idx="117">
                  <c:v>-121.50839121341133</c:v>
                </c:pt>
                <c:pt idx="118">
                  <c:v>-121.76504669777322</c:v>
                </c:pt>
                <c:pt idx="119">
                  <c:v>-122.03770197881767</c:v>
                </c:pt>
                <c:pt idx="120">
                  <c:v>-122.32642383535092</c:v>
                </c:pt>
                <c:pt idx="121">
                  <c:v>-122.63131102092589</c:v>
                </c:pt>
                <c:pt idx="122">
                  <c:v>-122.95249355779713</c:v>
                </c:pt>
                <c:pt idx="123">
                  <c:v>-123.29013214055769</c:v>
                </c:pt>
                <c:pt idx="124">
                  <c:v>-123.64441763632485</c:v>
                </c:pt>
                <c:pt idx="125">
                  <c:v>-124.01557066868544</c:v>
                </c:pt>
                <c:pt idx="126">
                  <c:v>-124.40384127273798</c:v>
                </c:pt>
                <c:pt idx="127">
                  <c:v>-124.80950860848039</c:v>
                </c:pt>
                <c:pt idx="128">
                  <c:v>-125.23288071948654</c:v>
                </c:pt>
                <c:pt idx="129">
                  <c:v>-125.67429432328768</c:v>
                </c:pt>
                <c:pt idx="130">
                  <c:v>-126.13411461912122</c:v>
                </c:pt>
                <c:pt idx="131">
                  <c:v>-126.61273509772022</c:v>
                </c:pt>
                <c:pt idx="132">
                  <c:v>-127.11057733658316</c:v>
                </c:pt>
                <c:pt idx="133">
                  <c:v>-127.628090762677</c:v>
                </c:pt>
                <c:pt idx="134">
                  <c:v>-128.16575236277464</c:v>
                </c:pt>
                <c:pt idx="135">
                  <c:v>-128.72406631960536</c:v>
                </c:pt>
                <c:pt idx="136">
                  <c:v>-129.30356354969385</c:v>
                </c:pt>
                <c:pt idx="137">
                  <c:v>-129.90480111618103</c:v>
                </c:pt>
                <c:pt idx="138">
                  <c:v>-130.52836148705705</c:v>
                </c:pt>
                <c:pt idx="139">
                  <c:v>-131.17485160610931</c:v>
                </c:pt>
                <c:pt idx="140">
                  <c:v>-131.84490174051342</c:v>
                </c:pt>
                <c:pt idx="141">
                  <c:v>-132.53916406541404</c:v>
                </c:pt>
                <c:pt idx="142">
                  <c:v>-133.2583109421048</c:v>
                </c:pt>
                <c:pt idx="143">
                  <c:v>-134.0030328426065</c:v>
                </c:pt>
                <c:pt idx="144">
                  <c:v>-134.7740358696621</c:v>
                </c:pt>
                <c:pt idx="145">
                  <c:v>-135.57203881755913</c:v>
                </c:pt>
                <c:pt idx="146">
                  <c:v>-136.39776971594065</c:v>
                </c:pt>
                <c:pt idx="147">
                  <c:v>-137.25196179610046</c:v>
                </c:pt>
                <c:pt idx="148">
                  <c:v>-138.13534881746784</c:v>
                </c:pt>
                <c:pt idx="149">
                  <c:v>-139.04865969141414</c:v>
                </c:pt>
                <c:pt idx="150">
                  <c:v>-139.99261234056931</c:v>
                </c:pt>
                <c:pt idx="151">
                  <c:v>-140.96790673499865</c:v>
                </c:pt>
                <c:pt idx="152">
                  <c:v>-141.97521705239328</c:v>
                </c:pt>
                <c:pt idx="153">
                  <c:v>-143.01518291846762</c:v>
                </c:pt>
                <c:pt idx="154">
                  <c:v>-144.08839969665908</c:v>
                </c:pt>
                <c:pt idx="155">
                  <c:v>-145.1954078136267</c:v>
                </c:pt>
                <c:pt idx="156">
                  <c:v>-146.33668112955138</c:v>
                </c:pt>
                <c:pt idx="157">
                  <c:v>-147.51261439036631</c:v>
                </c:pt>
                <c:pt idx="158">
                  <c:v>-148.72350983315479</c:v>
                </c:pt>
                <c:pt idx="159">
                  <c:v>-149.96956305615922</c:v>
                </c:pt>
                <c:pt idx="160">
                  <c:v>-151.25084831092096</c:v>
                </c:pt>
              </c:numCache>
            </c:numRef>
          </c:yVal>
          <c:smooth val="1"/>
          <c:extLst>
            <c:ext xmlns:c16="http://schemas.microsoft.com/office/drawing/2014/chart" uri="{C3380CC4-5D6E-409C-BE32-E72D297353CC}">
              <c16:uniqueId val="{00000002-5E33-6C42-B967-CAA45898CFCA}"/>
            </c:ext>
          </c:extLst>
        </c:ser>
        <c:ser>
          <c:idx val="1"/>
          <c:order val="9"/>
          <c:tx>
            <c:v>Par Ang at UT</c:v>
          </c:tx>
          <c:marker>
            <c:symbol val="circle"/>
            <c:size val="5"/>
            <c:spPr>
              <a:solidFill>
                <a:schemeClr val="lt1"/>
              </a:solidFill>
              <a:ln>
                <a:solidFill>
                  <a:schemeClr val="tx1"/>
                </a:solidFill>
              </a:ln>
            </c:spPr>
          </c:marker>
          <c:xVal>
            <c:numRef>
              <c:f>AtmDisp!$P$5</c:f>
              <c:numCache>
                <c:formatCode>0.00</c:formatCode>
                <c:ptCount val="1"/>
                <c:pt idx="0">
                  <c:v>7.5</c:v>
                </c:pt>
              </c:numCache>
            </c:numRef>
          </c:xVal>
          <c:yVal>
            <c:numRef>
              <c:f>AtmDisp!$U$5</c:f>
              <c:numCache>
                <c:formatCode>0.0</c:formatCode>
                <c:ptCount val="1"/>
                <c:pt idx="0">
                  <c:v>56.197210931817928</c:v>
                </c:pt>
              </c:numCache>
            </c:numRef>
          </c:yVal>
          <c:smooth val="1"/>
          <c:extLst>
            <c:ext xmlns:c16="http://schemas.microsoft.com/office/drawing/2014/chart" uri="{C3380CC4-5D6E-409C-BE32-E72D297353CC}">
              <c16:uniqueId val="{00000082-FFDD-9344-B7EA-A1B549884D32}"/>
            </c:ext>
          </c:extLst>
        </c:ser>
        <c:ser>
          <c:idx val="8"/>
          <c:order val="10"/>
          <c:tx>
            <c:v>PA180 at UT</c:v>
          </c:tx>
          <c:marker>
            <c:symbol val="circle"/>
            <c:size val="5"/>
            <c:spPr>
              <a:solidFill>
                <a:schemeClr val="lt1"/>
              </a:solidFill>
              <a:ln>
                <a:solidFill>
                  <a:schemeClr val="tx1"/>
                </a:solidFill>
              </a:ln>
            </c:spPr>
          </c:marker>
          <c:xVal>
            <c:numRef>
              <c:f>AtmDisp!$P$5</c:f>
              <c:numCache>
                <c:formatCode>0.00</c:formatCode>
                <c:ptCount val="1"/>
                <c:pt idx="0">
                  <c:v>7.5</c:v>
                </c:pt>
              </c:numCache>
            </c:numRef>
          </c:xVal>
          <c:yVal>
            <c:numRef>
              <c:f>AtmDisp!$B$15</c:f>
              <c:numCache>
                <c:formatCode>0</c:formatCode>
                <c:ptCount val="1"/>
                <c:pt idx="0">
                  <c:v>-123.80278906818208</c:v>
                </c:pt>
              </c:numCache>
            </c:numRef>
          </c:yVal>
          <c:smooth val="1"/>
          <c:extLst>
            <c:ext xmlns:c16="http://schemas.microsoft.com/office/drawing/2014/chart" uri="{C3380CC4-5D6E-409C-BE32-E72D297353CC}">
              <c16:uniqueId val="{00000003-5E33-6C42-B967-CAA45898CFCA}"/>
            </c:ext>
          </c:extLst>
        </c:ser>
        <c:ser>
          <c:idx val="4"/>
          <c:order val="12"/>
          <c:tx>
            <c:v>Name</c:v>
          </c:tx>
          <c:marker>
            <c:symbol val="none"/>
          </c:marker>
          <c:dLbls>
            <c:dLbl>
              <c:idx val="0"/>
              <c:tx>
                <c:rich>
                  <a:bodyPr/>
                  <a:lstStyle/>
                  <a:p>
                    <a:fld id="{7F5D7C5A-CDB8-6340-9656-642793E33D2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E33-6C42-B967-CAA45898CFCA}"/>
                </c:ext>
              </c:extLst>
            </c:dLbl>
            <c:spPr>
              <a:noFill/>
              <a:ln>
                <a:noFill/>
              </a:ln>
              <a:effectLst/>
            </c:spPr>
            <c:txPr>
              <a:bodyPr wrap="square" lIns="38100" tIns="19050" rIns="38100" bIns="19050" anchor="ctr">
                <a:spAutoFit/>
              </a:bodyPr>
              <a:lstStyle/>
              <a:p>
                <a:pPr>
                  <a:defRPr sz="1600">
                    <a:solidFill>
                      <a:schemeClr val="tx1">
                        <a:lumMod val="65000"/>
                        <a:lumOff val="35000"/>
                      </a:schemeClr>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AtmDisp!$AK$47</c:f>
              <c:numCache>
                <c:formatCode>General</c:formatCode>
                <c:ptCount val="1"/>
                <c:pt idx="0">
                  <c:v>13</c:v>
                </c:pt>
              </c:numCache>
            </c:numRef>
          </c:xVal>
          <c:yVal>
            <c:numRef>
              <c:f>AtmDisp!$AL$47</c:f>
              <c:numCache>
                <c:formatCode>General</c:formatCode>
                <c:ptCount val="1"/>
                <c:pt idx="0">
                  <c:v>180</c:v>
                </c:pt>
              </c:numCache>
            </c:numRef>
          </c:yVal>
          <c:smooth val="1"/>
          <c:extLst>
            <c:ext xmlns:c15="http://schemas.microsoft.com/office/drawing/2012/chart" uri="{02D57815-91ED-43cb-92C2-25804820EDAC}">
              <c15:datalabelsRange>
                <c15:f>AtmDisp!$B$3</c15:f>
                <c15:dlblRangeCache>
                  <c:ptCount val="1"/>
                  <c:pt idx="0">
                    <c:v>4115-dw2</c:v>
                  </c:pt>
                </c15:dlblRangeCache>
              </c15:datalabelsRange>
            </c:ext>
            <c:ext xmlns:c16="http://schemas.microsoft.com/office/drawing/2014/chart" uri="{C3380CC4-5D6E-409C-BE32-E72D297353CC}">
              <c16:uniqueId val="{00000000-5E33-6C42-B967-CAA45898CFCA}"/>
            </c:ext>
          </c:extLst>
        </c:ser>
        <c:dLbls>
          <c:showLegendKey val="0"/>
          <c:showVal val="0"/>
          <c:showCatName val="0"/>
          <c:showSerName val="0"/>
          <c:showPercent val="0"/>
          <c:showBubbleSize val="0"/>
        </c:dLbls>
        <c:axId val="1103210032"/>
        <c:axId val="1378303312"/>
      </c:scatterChart>
      <c:valAx>
        <c:axId val="241103296"/>
        <c:scaling>
          <c:orientation val="minMax"/>
          <c:max val="1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UT (hr)</a:t>
                </a:r>
              </a:p>
            </c:rich>
          </c:tx>
          <c:overlay val="0"/>
          <c:spPr>
            <a:noFill/>
            <a:ln>
              <a:noFill/>
            </a:ln>
            <a:effectLst/>
          </c:sp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0761936"/>
        <c:crosses val="autoZero"/>
        <c:crossBetween val="midCat"/>
        <c:majorUnit val="1"/>
      </c:valAx>
      <c:valAx>
        <c:axId val="580761936"/>
        <c:scaling>
          <c:orientation val="minMax"/>
          <c:max val="90"/>
          <c:min val="0"/>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Altitude (deg)</a:t>
                </a:r>
              </a:p>
            </c:rich>
          </c:tx>
          <c:overlay val="0"/>
          <c:spPr>
            <a:noFill/>
            <a:ln>
              <a:noFill/>
            </a:ln>
            <a:effectLst/>
          </c:sp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1103296"/>
        <c:crosses val="autoZero"/>
        <c:crossBetween val="midCat"/>
      </c:valAx>
      <c:valAx>
        <c:axId val="1378303312"/>
        <c:scaling>
          <c:orientation val="minMax"/>
          <c:max val="180"/>
          <c:min val="-180"/>
        </c:scaling>
        <c:delete val="0"/>
        <c:axPos val="r"/>
        <c:majorGridlines>
          <c:spPr>
            <a:ln w="9525">
              <a:solidFill>
                <a:schemeClr val="bg1">
                  <a:lumMod val="85000"/>
                </a:schemeClr>
              </a:solidFill>
            </a:ln>
          </c:spPr>
        </c:majorGridlines>
        <c:numFmt formatCode="0" sourceLinked="0"/>
        <c:majorTickMark val="in"/>
        <c:minorTickMark val="none"/>
        <c:tickLblPos val="nextTo"/>
        <c:spPr>
          <a:ln/>
        </c:spPr>
        <c:txPr>
          <a:bodyPr/>
          <a:lstStyle/>
          <a:p>
            <a:pPr>
              <a:defRPr sz="1200">
                <a:solidFill>
                  <a:schemeClr val="tx1">
                    <a:lumMod val="75000"/>
                    <a:lumOff val="25000"/>
                  </a:schemeClr>
                </a:solidFill>
              </a:defRPr>
            </a:pPr>
            <a:endParaRPr lang="en-US"/>
          </a:p>
        </c:txPr>
        <c:crossAx val="1103210032"/>
        <c:crosses val="max"/>
        <c:crossBetween val="midCat"/>
        <c:majorUnit val="20"/>
      </c:valAx>
      <c:valAx>
        <c:axId val="1103210032"/>
        <c:scaling>
          <c:orientation val="minMax"/>
        </c:scaling>
        <c:delete val="1"/>
        <c:axPos val="b"/>
        <c:numFmt formatCode="0.00" sourceLinked="1"/>
        <c:majorTickMark val="out"/>
        <c:minorTickMark val="none"/>
        <c:tickLblPos val="nextTo"/>
        <c:crossAx val="1378303312"/>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100000">
          <a:schemeClr val="accent1">
            <a:lumMod val="30000"/>
            <a:lumOff val="70000"/>
          </a:schemeClr>
        </a:gs>
      </a:gsLst>
      <a:lin ang="54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Dispersion (arcsec) vs UT</a:t>
            </a:r>
          </a:p>
        </c:rich>
      </c:tx>
      <c:layout>
        <c:manualLayout>
          <c:xMode val="edge"/>
          <c:yMode val="edge"/>
          <c:x val="0.36643377715889958"/>
          <c:y val="2.8316192767828707E-2"/>
        </c:manualLayout>
      </c:layout>
      <c:overlay val="0"/>
      <c:spPr>
        <a:noFill/>
        <a:ln>
          <a:noFill/>
        </a:ln>
        <a:effectLst/>
      </c:spPr>
    </c:title>
    <c:autoTitleDeleted val="0"/>
    <c:plotArea>
      <c:layout>
        <c:manualLayout>
          <c:layoutTarget val="inner"/>
          <c:xMode val="edge"/>
          <c:yMode val="edge"/>
          <c:x val="9.7558038006844081E-2"/>
          <c:y val="0.10246334015537673"/>
          <c:w val="0.84779968800443395"/>
          <c:h val="0.76023370681799562"/>
        </c:manualLayout>
      </c:layout>
      <c:scatterChart>
        <c:scatterStyle val="smoothMarker"/>
        <c:varyColors val="0"/>
        <c:ser>
          <c:idx val="5"/>
          <c:order val="0"/>
          <c:tx>
            <c:v>3500A</c:v>
          </c:tx>
          <c:spPr>
            <a:ln w="12700">
              <a:solidFill>
                <a:srgbClr val="7030A0"/>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F-61F0-7342-B978-2A30CEEF6918}"/>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0-61F0-7342-B978-2A30CEEF6918}"/>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1-61F0-7342-B978-2A30CEEF6918}"/>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2-61F0-7342-B978-2A30CEEF6918}"/>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3-61F0-7342-B978-2A30CEEF6918}"/>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4-61F0-7342-B978-2A30CEEF6918}"/>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5-61F0-7342-B978-2A30CEEF6918}"/>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6-61F0-7342-B978-2A30CEEF6918}"/>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7-61F0-7342-B978-2A30CEEF6918}"/>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8-61F0-7342-B978-2A30CEEF6918}"/>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9-61F0-7342-B978-2A30CEEF6918}"/>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A-61F0-7342-B978-2A30CEEF6918}"/>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B-61F0-7342-B978-2A30CEEF6918}"/>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C-61F0-7342-B978-2A30CEEF6918}"/>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D-61F0-7342-B978-2A30CEEF6918}"/>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E-61F0-7342-B978-2A30CEEF6918}"/>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CF-61F0-7342-B978-2A30CEEF6918}"/>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0-61F0-7342-B978-2A30CEEF6918}"/>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1-61F0-7342-B978-2A30CEEF6918}"/>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2-61F0-7342-B978-2A30CEEF6918}"/>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3-61F0-7342-B978-2A30CEEF6918}"/>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4-61F0-7342-B978-2A30CEEF6918}"/>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5-61F0-7342-B978-2A30CEEF6918}"/>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6-61F0-7342-B978-2A30CEEF6918}"/>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7-61F0-7342-B978-2A30CEEF6918}"/>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8-61F0-7342-B978-2A30CEEF6918}"/>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9-61F0-7342-B978-2A30CEEF6918}"/>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A-61F0-7342-B978-2A30CEEF6918}"/>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B-61F0-7342-B978-2A30CEEF6918}"/>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C-61F0-7342-B978-2A30CEEF6918}"/>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D-61F0-7342-B978-2A30CEEF6918}"/>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E-61F0-7342-B978-2A30CEEF6918}"/>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DF-61F0-7342-B978-2A30CEEF6918}"/>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0-61F0-7342-B978-2A30CEEF6918}"/>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1-61F0-7342-B978-2A30CEEF6918}"/>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2-61F0-7342-B978-2A30CEEF6918}"/>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3-61F0-7342-B978-2A30CEEF6918}"/>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4-61F0-7342-B978-2A30CEEF6918}"/>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5-61F0-7342-B978-2A30CEEF6918}"/>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6-61F0-7342-B978-2A30CEEF6918}"/>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7-61F0-7342-B978-2A30CEEF6918}"/>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8-61F0-7342-B978-2A30CEEF6918}"/>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9-61F0-7342-B978-2A30CEEF6918}"/>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A-61F0-7342-B978-2A30CEEF6918}"/>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B-61F0-7342-B978-2A30CEEF6918}"/>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C-61F0-7342-B978-2A30CEEF6918}"/>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D-61F0-7342-B978-2A30CEEF6918}"/>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E-61F0-7342-B978-2A30CEEF6918}"/>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EF-61F0-7342-B978-2A30CEEF6918}"/>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0-61F0-7342-B978-2A30CEEF6918}"/>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1-61F0-7342-B978-2A30CEEF6918}"/>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2-61F0-7342-B978-2A30CEEF6918}"/>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3-61F0-7342-B978-2A30CEEF6918}"/>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4-61F0-7342-B978-2A30CEEF6918}"/>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5-61F0-7342-B978-2A30CEEF6918}"/>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6-61F0-7342-B978-2A30CEEF6918}"/>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7-61F0-7342-B978-2A30CEEF6918}"/>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8-61F0-7342-B978-2A30CEEF6918}"/>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9-61F0-7342-B978-2A30CEEF6918}"/>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A-61F0-7342-B978-2A30CEEF6918}"/>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B-61F0-7342-B978-2A30CEEF6918}"/>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C-61F0-7342-B978-2A30CEEF6918}"/>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D-61F0-7342-B978-2A30CEEF6918}"/>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E-61F0-7342-B978-2A30CEEF6918}"/>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FF-61F0-7342-B978-2A30CEEF6918}"/>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0-61F0-7342-B978-2A30CEEF6918}"/>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1-61F0-7342-B978-2A30CEEF6918}"/>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2-61F0-7342-B978-2A30CEEF6918}"/>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3-61F0-7342-B978-2A30CEEF6918}"/>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4-61F0-7342-B978-2A30CEEF6918}"/>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5-61F0-7342-B978-2A30CEEF6918}"/>
                </c:ext>
              </c:extLst>
            </c:dLbl>
            <c:dLbl>
              <c:idx val="7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6-61F0-7342-B978-2A30CEEF6918}"/>
                </c:ext>
              </c:extLst>
            </c:dLbl>
            <c:dLbl>
              <c:idx val="7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7-61F0-7342-B978-2A30CEEF6918}"/>
                </c:ext>
              </c:extLst>
            </c:dLbl>
            <c:dLbl>
              <c:idx val="7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8-61F0-7342-B978-2A30CEEF6918}"/>
                </c:ext>
              </c:extLst>
            </c:dLbl>
            <c:dLbl>
              <c:idx val="7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9-61F0-7342-B978-2A30CEEF6918}"/>
                </c:ext>
              </c:extLst>
            </c:dLbl>
            <c:dLbl>
              <c:idx val="7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A-61F0-7342-B978-2A30CEEF6918}"/>
                </c:ext>
              </c:extLst>
            </c:dLbl>
            <c:dLbl>
              <c:idx val="7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B-61F0-7342-B978-2A30CEEF6918}"/>
                </c:ext>
              </c:extLst>
            </c:dLbl>
            <c:dLbl>
              <c:idx val="7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C-61F0-7342-B978-2A30CEEF6918}"/>
                </c:ext>
              </c:extLst>
            </c:dLbl>
            <c:dLbl>
              <c:idx val="7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D-61F0-7342-B978-2A30CEEF6918}"/>
                </c:ext>
              </c:extLst>
            </c:dLbl>
            <c:dLbl>
              <c:idx val="7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E-61F0-7342-B978-2A30CEEF6918}"/>
                </c:ext>
              </c:extLst>
            </c:dLbl>
            <c:dLbl>
              <c:idx val="8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0F-61F0-7342-B978-2A30CEEF6918}"/>
                </c:ext>
              </c:extLst>
            </c:dLbl>
            <c:dLbl>
              <c:idx val="8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0-61F0-7342-B978-2A30CEEF6918}"/>
                </c:ext>
              </c:extLst>
            </c:dLbl>
            <c:dLbl>
              <c:idx val="8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1-61F0-7342-B978-2A30CEEF6918}"/>
                </c:ext>
              </c:extLst>
            </c:dLbl>
            <c:dLbl>
              <c:idx val="8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2-61F0-7342-B978-2A30CEEF6918}"/>
                </c:ext>
              </c:extLst>
            </c:dLbl>
            <c:dLbl>
              <c:idx val="8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3-61F0-7342-B978-2A30CEEF6918}"/>
                </c:ext>
              </c:extLst>
            </c:dLbl>
            <c:dLbl>
              <c:idx val="8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4-61F0-7342-B978-2A30CEEF6918}"/>
                </c:ext>
              </c:extLst>
            </c:dLbl>
            <c:dLbl>
              <c:idx val="8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5-61F0-7342-B978-2A30CEEF6918}"/>
                </c:ext>
              </c:extLst>
            </c:dLbl>
            <c:dLbl>
              <c:idx val="8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6-61F0-7342-B978-2A30CEEF6918}"/>
                </c:ext>
              </c:extLst>
            </c:dLbl>
            <c:dLbl>
              <c:idx val="8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7-61F0-7342-B978-2A30CEEF6918}"/>
                </c:ext>
              </c:extLst>
            </c:dLbl>
            <c:dLbl>
              <c:idx val="8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8-61F0-7342-B978-2A30CEEF6918}"/>
                </c:ext>
              </c:extLst>
            </c:dLbl>
            <c:dLbl>
              <c:idx val="9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9-61F0-7342-B978-2A30CEEF6918}"/>
                </c:ext>
              </c:extLst>
            </c:dLbl>
            <c:dLbl>
              <c:idx val="9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A-61F0-7342-B978-2A30CEEF6918}"/>
                </c:ext>
              </c:extLst>
            </c:dLbl>
            <c:dLbl>
              <c:idx val="9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B-61F0-7342-B978-2A30CEEF6918}"/>
                </c:ext>
              </c:extLst>
            </c:dLbl>
            <c:dLbl>
              <c:idx val="9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C-61F0-7342-B978-2A30CEEF6918}"/>
                </c:ext>
              </c:extLst>
            </c:dLbl>
            <c:dLbl>
              <c:idx val="9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D-61F0-7342-B978-2A30CEEF6918}"/>
                </c:ext>
              </c:extLst>
            </c:dLbl>
            <c:dLbl>
              <c:idx val="9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E-61F0-7342-B978-2A30CEEF6918}"/>
                </c:ext>
              </c:extLst>
            </c:dLbl>
            <c:dLbl>
              <c:idx val="9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1F-61F0-7342-B978-2A30CEEF6918}"/>
                </c:ext>
              </c:extLst>
            </c:dLbl>
            <c:dLbl>
              <c:idx val="9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0-61F0-7342-B978-2A30CEEF6918}"/>
                </c:ext>
              </c:extLst>
            </c:dLbl>
            <c:dLbl>
              <c:idx val="9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1-61F0-7342-B978-2A30CEEF6918}"/>
                </c:ext>
              </c:extLst>
            </c:dLbl>
            <c:dLbl>
              <c:idx val="9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2-61F0-7342-B978-2A30CEEF6918}"/>
                </c:ext>
              </c:extLst>
            </c:dLbl>
            <c:dLbl>
              <c:idx val="10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3-61F0-7342-B978-2A30CEEF6918}"/>
                </c:ext>
              </c:extLst>
            </c:dLbl>
            <c:dLbl>
              <c:idx val="10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4-61F0-7342-B978-2A30CEEF6918}"/>
                </c:ext>
              </c:extLst>
            </c:dLbl>
            <c:dLbl>
              <c:idx val="10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5-61F0-7342-B978-2A30CEEF6918}"/>
                </c:ext>
              </c:extLst>
            </c:dLbl>
            <c:dLbl>
              <c:idx val="10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6-61F0-7342-B978-2A30CEEF6918}"/>
                </c:ext>
              </c:extLst>
            </c:dLbl>
            <c:dLbl>
              <c:idx val="10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7-61F0-7342-B978-2A30CEEF6918}"/>
                </c:ext>
              </c:extLst>
            </c:dLbl>
            <c:dLbl>
              <c:idx val="10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8-61F0-7342-B978-2A30CEEF6918}"/>
                </c:ext>
              </c:extLst>
            </c:dLbl>
            <c:dLbl>
              <c:idx val="10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9-61F0-7342-B978-2A30CEEF6918}"/>
                </c:ext>
              </c:extLst>
            </c:dLbl>
            <c:dLbl>
              <c:idx val="10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A-61F0-7342-B978-2A30CEEF6918}"/>
                </c:ext>
              </c:extLst>
            </c:dLbl>
            <c:dLbl>
              <c:idx val="10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B-61F0-7342-B978-2A30CEEF6918}"/>
                </c:ext>
              </c:extLst>
            </c:dLbl>
            <c:dLbl>
              <c:idx val="10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C-61F0-7342-B978-2A30CEEF6918}"/>
                </c:ext>
              </c:extLst>
            </c:dLbl>
            <c:dLbl>
              <c:idx val="1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D-61F0-7342-B978-2A30CEEF6918}"/>
                </c:ext>
              </c:extLst>
            </c:dLbl>
            <c:dLbl>
              <c:idx val="1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E-61F0-7342-B978-2A30CEEF6918}"/>
                </c:ext>
              </c:extLst>
            </c:dLbl>
            <c:dLbl>
              <c:idx val="1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2F-61F0-7342-B978-2A30CEEF6918}"/>
                </c:ext>
              </c:extLst>
            </c:dLbl>
            <c:dLbl>
              <c:idx val="1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0-61F0-7342-B978-2A30CEEF6918}"/>
                </c:ext>
              </c:extLst>
            </c:dLbl>
            <c:dLbl>
              <c:idx val="1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1-61F0-7342-B978-2A30CEEF6918}"/>
                </c:ext>
              </c:extLst>
            </c:dLbl>
            <c:dLbl>
              <c:idx val="1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2-61F0-7342-B978-2A30CEEF6918}"/>
                </c:ext>
              </c:extLst>
            </c:dLbl>
            <c:dLbl>
              <c:idx val="1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3-61F0-7342-B978-2A30CEEF6918}"/>
                </c:ext>
              </c:extLst>
            </c:dLbl>
            <c:dLbl>
              <c:idx val="1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4-61F0-7342-B978-2A30CEEF6918}"/>
                </c:ext>
              </c:extLst>
            </c:dLbl>
            <c:dLbl>
              <c:idx val="1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5-61F0-7342-B978-2A30CEEF6918}"/>
                </c:ext>
              </c:extLst>
            </c:dLbl>
            <c:dLbl>
              <c:idx val="1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6-61F0-7342-B978-2A30CEEF6918}"/>
                </c:ext>
              </c:extLst>
            </c:dLbl>
            <c:dLbl>
              <c:idx val="1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7-61F0-7342-B978-2A30CEEF6918}"/>
                </c:ext>
              </c:extLst>
            </c:dLbl>
            <c:dLbl>
              <c:idx val="1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8-61F0-7342-B978-2A30CEEF6918}"/>
                </c:ext>
              </c:extLst>
            </c:dLbl>
            <c:dLbl>
              <c:idx val="1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9-61F0-7342-B978-2A30CEEF6918}"/>
                </c:ext>
              </c:extLst>
            </c:dLbl>
            <c:dLbl>
              <c:idx val="1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A-61F0-7342-B978-2A30CEEF6918}"/>
                </c:ext>
              </c:extLst>
            </c:dLbl>
            <c:dLbl>
              <c:idx val="1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B-61F0-7342-B978-2A30CEEF6918}"/>
                </c:ext>
              </c:extLst>
            </c:dLbl>
            <c:dLbl>
              <c:idx val="1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C-61F0-7342-B978-2A30CEEF6918}"/>
                </c:ext>
              </c:extLst>
            </c:dLbl>
            <c:dLbl>
              <c:idx val="1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D-61F0-7342-B978-2A30CEEF6918}"/>
                </c:ext>
              </c:extLst>
            </c:dLbl>
            <c:dLbl>
              <c:idx val="1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E-61F0-7342-B978-2A30CEEF6918}"/>
                </c:ext>
              </c:extLst>
            </c:dLbl>
            <c:dLbl>
              <c:idx val="1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3F-61F0-7342-B978-2A30CEEF6918}"/>
                </c:ext>
              </c:extLst>
            </c:dLbl>
            <c:dLbl>
              <c:idx val="1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0-61F0-7342-B978-2A30CEEF6918}"/>
                </c:ext>
              </c:extLst>
            </c:dLbl>
            <c:dLbl>
              <c:idx val="1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1-61F0-7342-B978-2A30CEEF6918}"/>
                </c:ext>
              </c:extLst>
            </c:dLbl>
            <c:dLbl>
              <c:idx val="1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2-61F0-7342-B978-2A30CEEF6918}"/>
                </c:ext>
              </c:extLst>
            </c:dLbl>
            <c:dLbl>
              <c:idx val="1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3-61F0-7342-B978-2A30CEEF6918}"/>
                </c:ext>
              </c:extLst>
            </c:dLbl>
            <c:dLbl>
              <c:idx val="1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4-61F0-7342-B978-2A30CEEF6918}"/>
                </c:ext>
              </c:extLst>
            </c:dLbl>
            <c:dLbl>
              <c:idx val="1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5-61F0-7342-B978-2A30CEEF6918}"/>
                </c:ext>
              </c:extLst>
            </c:dLbl>
            <c:dLbl>
              <c:idx val="1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6-61F0-7342-B978-2A30CEEF6918}"/>
                </c:ext>
              </c:extLst>
            </c:dLbl>
            <c:dLbl>
              <c:idx val="1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7-61F0-7342-B978-2A30CEEF6918}"/>
                </c:ext>
              </c:extLst>
            </c:dLbl>
            <c:dLbl>
              <c:idx val="1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8-61F0-7342-B978-2A30CEEF6918}"/>
                </c:ext>
              </c:extLst>
            </c:dLbl>
            <c:dLbl>
              <c:idx val="1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9-61F0-7342-B978-2A30CEEF6918}"/>
                </c:ext>
              </c:extLst>
            </c:dLbl>
            <c:dLbl>
              <c:idx val="1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A-61F0-7342-B978-2A30CEEF6918}"/>
                </c:ext>
              </c:extLst>
            </c:dLbl>
            <c:dLbl>
              <c:idx val="1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B-61F0-7342-B978-2A30CEEF6918}"/>
                </c:ext>
              </c:extLst>
            </c:dLbl>
            <c:dLbl>
              <c:idx val="1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C-61F0-7342-B978-2A30CEEF6918}"/>
                </c:ext>
              </c:extLst>
            </c:dLbl>
            <c:dLbl>
              <c:idx val="1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D-61F0-7342-B978-2A30CEEF6918}"/>
                </c:ext>
              </c:extLst>
            </c:dLbl>
            <c:dLbl>
              <c:idx val="1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E-61F0-7342-B978-2A30CEEF6918}"/>
                </c:ext>
              </c:extLst>
            </c:dLbl>
            <c:dLbl>
              <c:idx val="1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4F-61F0-7342-B978-2A30CEEF6918}"/>
                </c:ext>
              </c:extLst>
            </c:dLbl>
            <c:dLbl>
              <c:idx val="1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0-61F0-7342-B978-2A30CEEF6918}"/>
                </c:ext>
              </c:extLst>
            </c:dLbl>
            <c:dLbl>
              <c:idx val="1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1-61F0-7342-B978-2A30CEEF6918}"/>
                </c:ext>
              </c:extLst>
            </c:dLbl>
            <c:dLbl>
              <c:idx val="1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2-61F0-7342-B978-2A30CEEF6918}"/>
                </c:ext>
              </c:extLst>
            </c:dLbl>
            <c:dLbl>
              <c:idx val="1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3-61F0-7342-B978-2A30CEEF6918}"/>
                </c:ext>
              </c:extLst>
            </c:dLbl>
            <c:dLbl>
              <c:idx val="1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4-61F0-7342-B978-2A30CEEF6918}"/>
                </c:ext>
              </c:extLst>
            </c:dLbl>
            <c:dLbl>
              <c:idx val="1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5-61F0-7342-B978-2A30CEEF6918}"/>
                </c:ext>
              </c:extLst>
            </c:dLbl>
            <c:dLbl>
              <c:idx val="1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6-61F0-7342-B978-2A30CEEF6918}"/>
                </c:ext>
              </c:extLst>
            </c:dLbl>
            <c:dLbl>
              <c:idx val="1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7-61F0-7342-B978-2A30CEEF6918}"/>
                </c:ext>
              </c:extLst>
            </c:dLbl>
            <c:dLbl>
              <c:idx val="1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8-61F0-7342-B978-2A30CEEF6918}"/>
                </c:ext>
              </c:extLst>
            </c:dLbl>
            <c:dLbl>
              <c:idx val="1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9-61F0-7342-B978-2A30CEEF6918}"/>
                </c:ext>
              </c:extLst>
            </c:dLbl>
            <c:dLbl>
              <c:idx val="1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A-61F0-7342-B978-2A30CEEF6918}"/>
                </c:ext>
              </c:extLst>
            </c:dLbl>
            <c:dLbl>
              <c:idx val="1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B-61F0-7342-B978-2A30CEEF6918}"/>
                </c:ext>
              </c:extLst>
            </c:dLbl>
            <c:dLbl>
              <c:idx val="1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C-61F0-7342-B978-2A30CEEF6918}"/>
                </c:ext>
              </c:extLst>
            </c:dLbl>
            <c:dLbl>
              <c:idx val="1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D-61F0-7342-B978-2A30CEEF6918}"/>
                </c:ext>
              </c:extLst>
            </c:dLbl>
            <c:dLbl>
              <c:idx val="1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E-61F0-7342-B978-2A30CEEF6918}"/>
                </c:ext>
              </c:extLst>
            </c:dLbl>
            <c:dLbl>
              <c:idx val="1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5F-61F0-7342-B978-2A30CEEF6918}"/>
                </c:ext>
              </c:extLst>
            </c:dLbl>
            <c:spPr>
              <a:noFill/>
              <a:ln>
                <a:noFill/>
              </a:ln>
              <a:effectLst/>
            </c:spPr>
            <c:txPr>
              <a:bodyPr wrap="square" lIns="38100" tIns="19050" rIns="38100" bIns="19050" anchor="ctr">
                <a:spAutoFit/>
              </a:bodyPr>
              <a:lstStyle/>
              <a:p>
                <a:pPr>
                  <a:defRPr sz="1600">
                    <a:solidFill>
                      <a:schemeClr val="tx1">
                        <a:lumMod val="65000"/>
                        <a:lumOff val="35000"/>
                      </a:schemeClr>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xVal>
            <c:numRef>
              <c:f>AtmDisp!$P$6:$P$166</c:f>
              <c:numCache>
                <c:formatCode>0.00</c:formatCode>
                <c:ptCount val="161"/>
                <c:pt idx="0">
                  <c:v>-1</c:v>
                </c:pt>
                <c:pt idx="1">
                  <c:v>-0.9</c:v>
                </c:pt>
                <c:pt idx="2">
                  <c:v>-0.8</c:v>
                </c:pt>
                <c:pt idx="3">
                  <c:v>-0.70000000000000007</c:v>
                </c:pt>
                <c:pt idx="4">
                  <c:v>-0.60000000000000009</c:v>
                </c:pt>
                <c:pt idx="5">
                  <c:v>-0.50000000000000011</c:v>
                </c:pt>
                <c:pt idx="6">
                  <c:v>-0.40000000000000013</c:v>
                </c:pt>
                <c:pt idx="7">
                  <c:v>-0.30000000000000016</c:v>
                </c:pt>
                <c:pt idx="8">
                  <c:v>-0.20000000000000015</c:v>
                </c:pt>
                <c:pt idx="9">
                  <c:v>-0.10000000000000014</c:v>
                </c:pt>
                <c:pt idx="10">
                  <c:v>-1.3877787807814457E-16</c:v>
                </c:pt>
                <c:pt idx="11">
                  <c:v>9.9999999999999867E-2</c:v>
                </c:pt>
                <c:pt idx="12">
                  <c:v>0.19999999999999987</c:v>
                </c:pt>
                <c:pt idx="13">
                  <c:v>0.29999999999999988</c:v>
                </c:pt>
                <c:pt idx="14">
                  <c:v>0.39999999999999991</c:v>
                </c:pt>
                <c:pt idx="15">
                  <c:v>0.49999999999999989</c:v>
                </c:pt>
                <c:pt idx="16">
                  <c:v>0.59999999999999987</c:v>
                </c:pt>
                <c:pt idx="17">
                  <c:v>0.69999999999999984</c:v>
                </c:pt>
                <c:pt idx="18">
                  <c:v>0.79999999999999982</c:v>
                </c:pt>
                <c:pt idx="19">
                  <c:v>0.8999999999999998</c:v>
                </c:pt>
                <c:pt idx="20">
                  <c:v>0.99999999999999978</c:v>
                </c:pt>
                <c:pt idx="21">
                  <c:v>1.0999999999999999</c:v>
                </c:pt>
                <c:pt idx="22">
                  <c:v>1.2</c:v>
                </c:pt>
                <c:pt idx="23">
                  <c:v>1.3</c:v>
                </c:pt>
                <c:pt idx="24">
                  <c:v>1.4000000000000001</c:v>
                </c:pt>
                <c:pt idx="25">
                  <c:v>1.5000000000000002</c:v>
                </c:pt>
                <c:pt idx="26">
                  <c:v>1.6000000000000003</c:v>
                </c:pt>
                <c:pt idx="27">
                  <c:v>1.7000000000000004</c:v>
                </c:pt>
                <c:pt idx="28">
                  <c:v>1.8000000000000005</c:v>
                </c:pt>
                <c:pt idx="29">
                  <c:v>1.9000000000000006</c:v>
                </c:pt>
                <c:pt idx="30">
                  <c:v>2.0000000000000004</c:v>
                </c:pt>
                <c:pt idx="31">
                  <c:v>2.1000000000000005</c:v>
                </c:pt>
                <c:pt idx="32">
                  <c:v>2.2000000000000006</c:v>
                </c:pt>
                <c:pt idx="33">
                  <c:v>2.3000000000000007</c:v>
                </c:pt>
                <c:pt idx="34">
                  <c:v>2.4000000000000008</c:v>
                </c:pt>
                <c:pt idx="35">
                  <c:v>2.5000000000000009</c:v>
                </c:pt>
                <c:pt idx="36">
                  <c:v>2.600000000000001</c:v>
                </c:pt>
                <c:pt idx="37">
                  <c:v>2.7000000000000011</c:v>
                </c:pt>
                <c:pt idx="38">
                  <c:v>2.8000000000000012</c:v>
                </c:pt>
                <c:pt idx="39">
                  <c:v>2.9000000000000012</c:v>
                </c:pt>
                <c:pt idx="40">
                  <c:v>3.0000000000000013</c:v>
                </c:pt>
                <c:pt idx="41">
                  <c:v>3.1000000000000014</c:v>
                </c:pt>
                <c:pt idx="42">
                  <c:v>3.2000000000000015</c:v>
                </c:pt>
                <c:pt idx="43">
                  <c:v>3.3000000000000016</c:v>
                </c:pt>
                <c:pt idx="44">
                  <c:v>3.4000000000000017</c:v>
                </c:pt>
                <c:pt idx="45">
                  <c:v>3.5000000000000018</c:v>
                </c:pt>
                <c:pt idx="46">
                  <c:v>3.6000000000000019</c:v>
                </c:pt>
                <c:pt idx="47">
                  <c:v>3.700000000000002</c:v>
                </c:pt>
                <c:pt idx="48">
                  <c:v>3.800000000000002</c:v>
                </c:pt>
                <c:pt idx="49">
                  <c:v>3.9000000000000021</c:v>
                </c:pt>
                <c:pt idx="50">
                  <c:v>4.0000000000000018</c:v>
                </c:pt>
                <c:pt idx="51">
                  <c:v>4.1000000000000014</c:v>
                </c:pt>
                <c:pt idx="52">
                  <c:v>4.2000000000000011</c:v>
                </c:pt>
                <c:pt idx="53">
                  <c:v>4.3000000000000007</c:v>
                </c:pt>
                <c:pt idx="54">
                  <c:v>4.4000000000000004</c:v>
                </c:pt>
                <c:pt idx="55">
                  <c:v>4.5</c:v>
                </c:pt>
                <c:pt idx="56">
                  <c:v>4.5999999999999996</c:v>
                </c:pt>
                <c:pt idx="57">
                  <c:v>4.6999999999999993</c:v>
                </c:pt>
                <c:pt idx="58">
                  <c:v>4.7999999999999989</c:v>
                </c:pt>
                <c:pt idx="59">
                  <c:v>4.8999999999999986</c:v>
                </c:pt>
                <c:pt idx="60">
                  <c:v>4.9999999999999982</c:v>
                </c:pt>
                <c:pt idx="61">
                  <c:v>5.0999999999999979</c:v>
                </c:pt>
                <c:pt idx="62">
                  <c:v>5.1999999999999975</c:v>
                </c:pt>
                <c:pt idx="63">
                  <c:v>5.2999999999999972</c:v>
                </c:pt>
                <c:pt idx="64">
                  <c:v>5.3999999999999968</c:v>
                </c:pt>
                <c:pt idx="65">
                  <c:v>5.4999999999999964</c:v>
                </c:pt>
                <c:pt idx="66">
                  <c:v>5.5999999999999961</c:v>
                </c:pt>
                <c:pt idx="67">
                  <c:v>5.6999999999999957</c:v>
                </c:pt>
                <c:pt idx="68">
                  <c:v>5.7999999999999954</c:v>
                </c:pt>
                <c:pt idx="69">
                  <c:v>5.899999999999995</c:v>
                </c:pt>
                <c:pt idx="70">
                  <c:v>5.9999999999999947</c:v>
                </c:pt>
                <c:pt idx="71">
                  <c:v>6.0999999999999943</c:v>
                </c:pt>
                <c:pt idx="72">
                  <c:v>6.199999999999994</c:v>
                </c:pt>
                <c:pt idx="73">
                  <c:v>6.2999999999999936</c:v>
                </c:pt>
                <c:pt idx="74">
                  <c:v>6.3999999999999932</c:v>
                </c:pt>
                <c:pt idx="75">
                  <c:v>6.4999999999999929</c:v>
                </c:pt>
                <c:pt idx="76">
                  <c:v>6.5999999999999925</c:v>
                </c:pt>
                <c:pt idx="77">
                  <c:v>6.6999999999999922</c:v>
                </c:pt>
                <c:pt idx="78">
                  <c:v>6.7999999999999918</c:v>
                </c:pt>
                <c:pt idx="79">
                  <c:v>6.8999999999999915</c:v>
                </c:pt>
                <c:pt idx="80">
                  <c:v>6.9999999999999911</c:v>
                </c:pt>
                <c:pt idx="81">
                  <c:v>7.0999999999999908</c:v>
                </c:pt>
                <c:pt idx="82">
                  <c:v>7.1999999999999904</c:v>
                </c:pt>
                <c:pt idx="83">
                  <c:v>7.2999999999999901</c:v>
                </c:pt>
                <c:pt idx="84">
                  <c:v>7.3999999999999897</c:v>
                </c:pt>
                <c:pt idx="85">
                  <c:v>7.4999999999999893</c:v>
                </c:pt>
                <c:pt idx="86">
                  <c:v>7.599999999999989</c:v>
                </c:pt>
                <c:pt idx="87">
                  <c:v>7.6999999999999886</c:v>
                </c:pt>
                <c:pt idx="88">
                  <c:v>7.7999999999999883</c:v>
                </c:pt>
                <c:pt idx="89">
                  <c:v>7.8999999999999879</c:v>
                </c:pt>
                <c:pt idx="90">
                  <c:v>7.9999999999999876</c:v>
                </c:pt>
                <c:pt idx="91">
                  <c:v>8.0999999999999872</c:v>
                </c:pt>
                <c:pt idx="92">
                  <c:v>8.1999999999999869</c:v>
                </c:pt>
                <c:pt idx="93">
                  <c:v>8.2999999999999865</c:v>
                </c:pt>
                <c:pt idx="94">
                  <c:v>8.3999999999999861</c:v>
                </c:pt>
                <c:pt idx="95">
                  <c:v>8.4999999999999858</c:v>
                </c:pt>
                <c:pt idx="96">
                  <c:v>8.5999999999999854</c:v>
                </c:pt>
                <c:pt idx="97">
                  <c:v>8.6999999999999851</c:v>
                </c:pt>
                <c:pt idx="98">
                  <c:v>8.7999999999999847</c:v>
                </c:pt>
                <c:pt idx="99">
                  <c:v>8.8999999999999844</c:v>
                </c:pt>
                <c:pt idx="100">
                  <c:v>8.999999999999984</c:v>
                </c:pt>
                <c:pt idx="101">
                  <c:v>9.0999999999999837</c:v>
                </c:pt>
                <c:pt idx="102">
                  <c:v>9.1999999999999833</c:v>
                </c:pt>
                <c:pt idx="103">
                  <c:v>9.2999999999999829</c:v>
                </c:pt>
                <c:pt idx="104">
                  <c:v>9.3999999999999826</c:v>
                </c:pt>
                <c:pt idx="105">
                  <c:v>9.4999999999999822</c:v>
                </c:pt>
                <c:pt idx="106">
                  <c:v>9.5999999999999819</c:v>
                </c:pt>
                <c:pt idx="107">
                  <c:v>9.6999999999999815</c:v>
                </c:pt>
                <c:pt idx="108">
                  <c:v>9.7999999999999812</c:v>
                </c:pt>
                <c:pt idx="109">
                  <c:v>9.8999999999999808</c:v>
                </c:pt>
                <c:pt idx="110">
                  <c:v>9.9999999999999805</c:v>
                </c:pt>
                <c:pt idx="111">
                  <c:v>10.09999999999998</c:v>
                </c:pt>
                <c:pt idx="112">
                  <c:v>10.19999999999998</c:v>
                </c:pt>
                <c:pt idx="113">
                  <c:v>10.299999999999979</c:v>
                </c:pt>
                <c:pt idx="114">
                  <c:v>10.399999999999979</c:v>
                </c:pt>
                <c:pt idx="115">
                  <c:v>10.499999999999979</c:v>
                </c:pt>
                <c:pt idx="116">
                  <c:v>10.599999999999978</c:v>
                </c:pt>
                <c:pt idx="117">
                  <c:v>10.699999999999978</c:v>
                </c:pt>
                <c:pt idx="118">
                  <c:v>10.799999999999978</c:v>
                </c:pt>
                <c:pt idx="119">
                  <c:v>10.899999999999977</c:v>
                </c:pt>
                <c:pt idx="120">
                  <c:v>10.999999999999977</c:v>
                </c:pt>
                <c:pt idx="121">
                  <c:v>11.099999999999977</c:v>
                </c:pt>
                <c:pt idx="122">
                  <c:v>11.199999999999976</c:v>
                </c:pt>
                <c:pt idx="123">
                  <c:v>11.299999999999976</c:v>
                </c:pt>
                <c:pt idx="124">
                  <c:v>11.399999999999975</c:v>
                </c:pt>
                <c:pt idx="125">
                  <c:v>11.499999999999975</c:v>
                </c:pt>
                <c:pt idx="126">
                  <c:v>11.599999999999975</c:v>
                </c:pt>
                <c:pt idx="127">
                  <c:v>11.699999999999974</c:v>
                </c:pt>
                <c:pt idx="128">
                  <c:v>11.799999999999974</c:v>
                </c:pt>
                <c:pt idx="129">
                  <c:v>11.899999999999974</c:v>
                </c:pt>
                <c:pt idx="130">
                  <c:v>11.999999999999973</c:v>
                </c:pt>
                <c:pt idx="131">
                  <c:v>12.099999999999973</c:v>
                </c:pt>
                <c:pt idx="132">
                  <c:v>12.199999999999973</c:v>
                </c:pt>
                <c:pt idx="133">
                  <c:v>12.299999999999972</c:v>
                </c:pt>
                <c:pt idx="134">
                  <c:v>12.399999999999972</c:v>
                </c:pt>
                <c:pt idx="135">
                  <c:v>12.499999999999972</c:v>
                </c:pt>
                <c:pt idx="136">
                  <c:v>12.599999999999971</c:v>
                </c:pt>
                <c:pt idx="137">
                  <c:v>12.699999999999971</c:v>
                </c:pt>
                <c:pt idx="138">
                  <c:v>12.799999999999971</c:v>
                </c:pt>
                <c:pt idx="139">
                  <c:v>12.89999999999997</c:v>
                </c:pt>
                <c:pt idx="140">
                  <c:v>12.99999999999997</c:v>
                </c:pt>
                <c:pt idx="141">
                  <c:v>13.099999999999969</c:v>
                </c:pt>
                <c:pt idx="142">
                  <c:v>13.199999999999969</c:v>
                </c:pt>
                <c:pt idx="143">
                  <c:v>13.299999999999969</c:v>
                </c:pt>
                <c:pt idx="144">
                  <c:v>13.399999999999968</c:v>
                </c:pt>
                <c:pt idx="145">
                  <c:v>13.499999999999968</c:v>
                </c:pt>
                <c:pt idx="146">
                  <c:v>13.599999999999968</c:v>
                </c:pt>
                <c:pt idx="147">
                  <c:v>13.699999999999967</c:v>
                </c:pt>
                <c:pt idx="148">
                  <c:v>13.799999999999967</c:v>
                </c:pt>
                <c:pt idx="149">
                  <c:v>13.899999999999967</c:v>
                </c:pt>
                <c:pt idx="150">
                  <c:v>13.999999999999966</c:v>
                </c:pt>
                <c:pt idx="151">
                  <c:v>14.099999999999966</c:v>
                </c:pt>
                <c:pt idx="152">
                  <c:v>14.199999999999966</c:v>
                </c:pt>
                <c:pt idx="153">
                  <c:v>14.299999999999965</c:v>
                </c:pt>
                <c:pt idx="154">
                  <c:v>14.399999999999965</c:v>
                </c:pt>
                <c:pt idx="155">
                  <c:v>14.499999999999964</c:v>
                </c:pt>
                <c:pt idx="156">
                  <c:v>14.599999999999964</c:v>
                </c:pt>
                <c:pt idx="157">
                  <c:v>14.699999999999964</c:v>
                </c:pt>
                <c:pt idx="158">
                  <c:v>14.799999999999963</c:v>
                </c:pt>
                <c:pt idx="159">
                  <c:v>14.899999999999963</c:v>
                </c:pt>
                <c:pt idx="160">
                  <c:v>14.999999999999963</c:v>
                </c:pt>
              </c:numCache>
            </c:numRef>
          </c:xVal>
          <c:yVal>
            <c:numRef>
              <c:f>AtmDisp!$W$6:$W$166</c:f>
              <c:numCache>
                <c:formatCode>0.0</c:formatCode>
                <c:ptCount val="161"/>
                <c:pt idx="0">
                  <c:v>#N/A</c:v>
                </c:pt>
                <c:pt idx="1">
                  <c:v>9.3147252330662145</c:v>
                </c:pt>
                <c:pt idx="2">
                  <c:v>8.378203902060104</c:v>
                </c:pt>
                <c:pt idx="3">
                  <c:v>7.6102174581416149</c:v>
                </c:pt>
                <c:pt idx="4">
                  <c:v>6.9685807065548833</c:v>
                </c:pt>
                <c:pt idx="5">
                  <c:v>6.4240973765580938</c:v>
                </c:pt>
                <c:pt idx="6">
                  <c:v>5.9559185239175312</c:v>
                </c:pt>
                <c:pt idx="7">
                  <c:v>5.5487585797749412</c:v>
                </c:pt>
                <c:pt idx="8">
                  <c:v>5.1911559161484551</c:v>
                </c:pt>
                <c:pt idx="9">
                  <c:v>4.8743476293310453</c:v>
                </c:pt>
                <c:pt idx="10">
                  <c:v>4.5915195721685924</c:v>
                </c:pt>
                <c:pt idx="11">
                  <c:v>4.3372933275823815</c:v>
                </c:pt>
                <c:pt idx="12">
                  <c:v>4.1073671612051106</c:v>
                </c:pt>
                <c:pt idx="13">
                  <c:v>3.8982596079084306</c:v>
                </c:pt>
                <c:pt idx="14">
                  <c:v>3.7071230249968905</c:v>
                </c:pt>
                <c:pt idx="15">
                  <c:v>3.5316058115190758</c:v>
                </c:pt>
                <c:pt idx="16">
                  <c:v>3.3697490959135576</c:v>
                </c:pt>
                <c:pt idx="17">
                  <c:v>3.2199082391842131</c:v>
                </c:pt>
                <c:pt idx="18">
                  <c:v>3.0806924720624838</c:v>
                </c:pt>
                <c:pt idx="19">
                  <c:v>2.9509179652011186</c:v>
                </c:pt>
                <c:pt idx="20">
                  <c:v>2.8295709752769662</c:v>
                </c:pt>
                <c:pt idx="21">
                  <c:v>2.7157786365995098</c:v>
                </c:pt>
                <c:pt idx="22">
                  <c:v>2.6087856165122187</c:v>
                </c:pt>
                <c:pt idx="23">
                  <c:v>2.5079353132565911</c:v>
                </c:pt>
                <c:pt idx="24">
                  <c:v>2.412654605917909</c:v>
                </c:pt>
                <c:pt idx="25">
                  <c:v>2.322441406833553</c:v>
                </c:pt>
                <c:pt idx="26">
                  <c:v>2.2368544439676596</c:v>
                </c:pt>
                <c:pt idx="27">
                  <c:v>2.1555048324450832</c:v>
                </c:pt>
                <c:pt idx="28">
                  <c:v>2.0780490933364195</c:v>
                </c:pt>
                <c:pt idx="29">
                  <c:v>2.0041833527802551</c:v>
                </c:pt>
                <c:pt idx="30">
                  <c:v>1.9336385119332187</c:v>
                </c:pt>
                <c:pt idx="31">
                  <c:v>1.8661762225863385</c:v>
                </c:pt>
                <c:pt idx="32">
                  <c:v>1.8015855378619212</c:v>
                </c:pt>
                <c:pt idx="33">
                  <c:v>1.7396801346065314</c:v>
                </c:pt>
                <c:pt idx="34">
                  <c:v>1.6802960256809356</c:v>
                </c:pt>
                <c:pt idx="35">
                  <c:v>1.6232896976059954</c:v>
                </c:pt>
                <c:pt idx="36">
                  <c:v>1.5685366228880153</c:v>
                </c:pt>
                <c:pt idx="37">
                  <c:v>1.5159301074709968</c:v>
                </c:pt>
                <c:pt idx="38">
                  <c:v>1.4653804425627457</c:v>
                </c:pt>
                <c:pt idx="39">
                  <c:v>1.4168143367548851</c:v>
                </c:pt>
                <c:pt idx="40">
                  <c:v>1.3701746088800741</c:v>
                </c:pt>
                <c:pt idx="41">
                  <c:v>1.3254201241554588</c:v>
                </c:pt>
                <c:pt idx="42">
                  <c:v>1.2825259552989321</c:v>
                </c:pt>
                <c:pt idx="43">
                  <c:v>1.2414837455940193</c:v>
                </c:pt>
                <c:pt idx="44">
                  <c:v>1.2023022410742559</c:v>
                </c:pt>
                <c:pt idx="45">
                  <c:v>1.1650079424988673</c:v>
                </c:pt>
                <c:pt idx="46">
                  <c:v>1.1296458027709531</c:v>
                </c:pt>
                <c:pt idx="47">
                  <c:v>1.0962798602078145</c:v>
                </c:pt>
                <c:pt idx="48">
                  <c:v>1.0649936517850807</c:v>
                </c:pt>
                <c:pt idx="49">
                  <c:v>1.0358901945197481</c:v>
                </c:pt>
                <c:pt idx="50">
                  <c:v>1.009091263151664</c:v>
                </c:pt>
                <c:pt idx="51">
                  <c:v>0.98473564068457886</c:v>
                </c:pt>
                <c:pt idx="52">
                  <c:v>0.96297599678798562</c:v>
                </c:pt>
                <c:pt idx="53">
                  <c:v>0.9439740885147696</c:v>
                </c:pt>
                <c:pt idx="54">
                  <c:v>0.92789411347246253</c:v>
                </c:pt>
                <c:pt idx="55">
                  <c:v>0.9148943033728687</c:v>
                </c:pt>
                <c:pt idx="56">
                  <c:v>0.90511722011073736</c:v>
                </c:pt>
                <c:pt idx="57">
                  <c:v>0.89867964668795031</c:v>
                </c:pt>
                <c:pt idx="58">
                  <c:v>0.8956633289944711</c:v>
                </c:pt>
                <c:pt idx="59">
                  <c:v>0.89610796634795298</c:v>
                </c:pt>
                <c:pt idx="60">
                  <c:v>0.90000764919720422</c:v>
                </c:pt>
                <c:pt idx="61">
                  <c:v>0.90731139597124066</c:v>
                </c:pt>
                <c:pt idx="62">
                  <c:v>0.91792768902867761</c:v>
                </c:pt>
                <c:pt idx="63">
                  <c:v>0.93173218988467599</c:v>
                </c:pt>
                <c:pt idx="64">
                  <c:v>0.94857734868743759</c:v>
                </c:pt>
                <c:pt idx="65">
                  <c:v>0.96830251723102512</c:v>
                </c:pt>
                <c:pt idx="66">
                  <c:v>0.99074338789086647</c:v>
                </c:pt>
                <c:pt idx="67">
                  <c:v>1.015739976045368</c:v>
                </c:pt>
                <c:pt idx="68">
                  <c:v>1.0431427887245215</c:v>
                </c:pt>
                <c:pt idx="69">
                  <c:v>1.0728171698276698</c:v>
                </c:pt>
                <c:pt idx="70">
                  <c:v>1.1046460375473766</c:v>
                </c:pt>
                <c:pt idx="71">
                  <c:v>1.1385313374589023</c:v>
                </c:pt>
                <c:pt idx="72">
                  <c:v>1.1743945551841803</c:v>
                </c:pt>
                <c:pt idx="73">
                  <c:v>1.2121766006566792</c:v>
                </c:pt>
                <c:pt idx="74">
                  <c:v>1.2518373205910043</c:v>
                </c:pt>
                <c:pt idx="75">
                  <c:v>1.2933548359269638</c:v>
                </c:pt>
                <c:pt idx="76">
                  <c:v>1.3367248472177262</c:v>
                </c:pt>
                <c:pt idx="77">
                  <c:v>1.3819600074643577</c:v>
                </c:pt>
                <c:pt idx="78">
                  <c:v>1.4290894294113776</c:v>
                </c:pt>
                <c:pt idx="79">
                  <c:v>1.47815837166026</c:v>
                </c:pt>
                <c:pt idx="80">
                  <c:v>1.5292281333453075</c:v>
                </c:pt>
                <c:pt idx="81">
                  <c:v>1.5823761787579096</c:v>
                </c:pt>
                <c:pt idx="82">
                  <c:v>1.637696509685618</c:v>
                </c:pt>
                <c:pt idx="83">
                  <c:v>1.6953003032015699</c:v>
                </c:pt>
                <c:pt idx="84">
                  <c:v>1.7553168354062223</c:v>
                </c:pt>
                <c:pt idx="85">
                  <c:v>1.8178947167133999</c:v>
                </c:pt>
                <c:pt idx="86">
                  <c:v>1.8832034714844752</c:v>
                </c:pt>
                <c:pt idx="87">
                  <c:v>1.9514355041829086</c:v>
                </c:pt>
                <c:pt idx="88">
                  <c:v>2.02280850599983</c:v>
                </c:pt>
                <c:pt idx="89">
                  <c:v>2.0975683705640695</c:v>
                </c:pt>
                <c:pt idx="90">
                  <c:v>2.1759927056167445</c:v>
                </c:pt>
                <c:pt idx="91">
                  <c:v>2.258395050417441</c:v>
                </c:pt>
                <c:pt idx="92">
                  <c:v>2.3451299375526387</c:v>
                </c:pt>
                <c:pt idx="93">
                  <c:v>2.4365989746410617</c:v>
                </c:pt>
                <c:pt idx="94">
                  <c:v>2.5332581687727118</c:v>
                </c:pt>
                <c:pt idx="95">
                  <c:v>2.6356267779433997</c:v>
                </c:pt>
                <c:pt idx="96">
                  <c:v>2.7442980541854616</c:v>
                </c:pt>
                <c:pt idx="97">
                  <c:v>2.8599523494343773</c:v>
                </c:pt>
                <c:pt idx="98">
                  <c:v>2.9833731971267428</c:v>
                </c:pt>
                <c:pt idx="99">
                  <c:v>3.1154671739647788</c:v>
                </c:pt>
                <c:pt idx="100">
                  <c:v>3.2572886072363834</c:v>
                </c:pt>
                <c:pt idx="101">
                  <c:v>3.4100705528579121</c:v>
                </c:pt>
                <c:pt idx="102">
                  <c:v>3.5752639713963181</c:v>
                </c:pt>
                <c:pt idx="103">
                  <c:v>3.7545877392213178</c:v>
                </c:pt>
                <c:pt idx="104">
                  <c:v>3.9500931498698435</c:v>
                </c:pt>
                <c:pt idx="105">
                  <c:v>4.1642480427729849</c:v>
                </c:pt>
                <c:pt idx="106">
                  <c:v>4.4000478904450571</c:v>
                </c:pt>
                <c:pt idx="107">
                  <c:v>4.6611644824679415</c:v>
                </c:pt>
                <c:pt idx="108">
                  <c:v>4.9521479303596054</c:v>
                </c:pt>
                <c:pt idx="109">
                  <c:v>5.2787057119745127</c:v>
                </c:pt>
                <c:pt idx="110">
                  <c:v>5.6480953514811389</c:v>
                </c:pt>
                <c:pt idx="111">
                  <c:v>6.0696886461471502</c:v>
                </c:pt>
                <c:pt idx="112">
                  <c:v>6.5558017296210318</c:v>
                </c:pt>
                <c:pt idx="113">
                  <c:v>7.1229495389346855</c:v>
                </c:pt>
                <c:pt idx="114">
                  <c:v>7.7938014170900889</c:v>
                </c:pt>
                <c:pt idx="115">
                  <c:v>8.600341986769374</c:v>
                </c:pt>
                <c:pt idx="116">
                  <c:v>9.5892031272555887</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numCache>
            </c:numRef>
          </c:yVal>
          <c:smooth val="1"/>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1-61F0-7342-B978-2A30CEEF6918}"/>
            </c:ext>
          </c:extLst>
        </c:ser>
        <c:ser>
          <c:idx val="6"/>
          <c:order val="1"/>
          <c:tx>
            <c:v>4500A</c:v>
          </c:tx>
          <c:spPr>
            <a:ln w="12700">
              <a:solidFill>
                <a:srgbClr val="0070C0"/>
              </a:solidFill>
            </a:ln>
          </c:spPr>
          <c:marker>
            <c:symbol val="none"/>
          </c:marker>
          <c:xVal>
            <c:numRef>
              <c:f>AtmDisp!$P$6:$P$166</c:f>
              <c:numCache>
                <c:formatCode>0.00</c:formatCode>
                <c:ptCount val="161"/>
                <c:pt idx="0">
                  <c:v>-1</c:v>
                </c:pt>
                <c:pt idx="1">
                  <c:v>-0.9</c:v>
                </c:pt>
                <c:pt idx="2">
                  <c:v>-0.8</c:v>
                </c:pt>
                <c:pt idx="3">
                  <c:v>-0.70000000000000007</c:v>
                </c:pt>
                <c:pt idx="4">
                  <c:v>-0.60000000000000009</c:v>
                </c:pt>
                <c:pt idx="5">
                  <c:v>-0.50000000000000011</c:v>
                </c:pt>
                <c:pt idx="6">
                  <c:v>-0.40000000000000013</c:v>
                </c:pt>
                <c:pt idx="7">
                  <c:v>-0.30000000000000016</c:v>
                </c:pt>
                <c:pt idx="8">
                  <c:v>-0.20000000000000015</c:v>
                </c:pt>
                <c:pt idx="9">
                  <c:v>-0.10000000000000014</c:v>
                </c:pt>
                <c:pt idx="10">
                  <c:v>-1.3877787807814457E-16</c:v>
                </c:pt>
                <c:pt idx="11">
                  <c:v>9.9999999999999867E-2</c:v>
                </c:pt>
                <c:pt idx="12">
                  <c:v>0.19999999999999987</c:v>
                </c:pt>
                <c:pt idx="13">
                  <c:v>0.29999999999999988</c:v>
                </c:pt>
                <c:pt idx="14">
                  <c:v>0.39999999999999991</c:v>
                </c:pt>
                <c:pt idx="15">
                  <c:v>0.49999999999999989</c:v>
                </c:pt>
                <c:pt idx="16">
                  <c:v>0.59999999999999987</c:v>
                </c:pt>
                <c:pt idx="17">
                  <c:v>0.69999999999999984</c:v>
                </c:pt>
                <c:pt idx="18">
                  <c:v>0.79999999999999982</c:v>
                </c:pt>
                <c:pt idx="19">
                  <c:v>0.8999999999999998</c:v>
                </c:pt>
                <c:pt idx="20">
                  <c:v>0.99999999999999978</c:v>
                </c:pt>
                <c:pt idx="21">
                  <c:v>1.0999999999999999</c:v>
                </c:pt>
                <c:pt idx="22">
                  <c:v>1.2</c:v>
                </c:pt>
                <c:pt idx="23">
                  <c:v>1.3</c:v>
                </c:pt>
                <c:pt idx="24">
                  <c:v>1.4000000000000001</c:v>
                </c:pt>
                <c:pt idx="25">
                  <c:v>1.5000000000000002</c:v>
                </c:pt>
                <c:pt idx="26">
                  <c:v>1.6000000000000003</c:v>
                </c:pt>
                <c:pt idx="27">
                  <c:v>1.7000000000000004</c:v>
                </c:pt>
                <c:pt idx="28">
                  <c:v>1.8000000000000005</c:v>
                </c:pt>
                <c:pt idx="29">
                  <c:v>1.9000000000000006</c:v>
                </c:pt>
                <c:pt idx="30">
                  <c:v>2.0000000000000004</c:v>
                </c:pt>
                <c:pt idx="31">
                  <c:v>2.1000000000000005</c:v>
                </c:pt>
                <c:pt idx="32">
                  <c:v>2.2000000000000006</c:v>
                </c:pt>
                <c:pt idx="33">
                  <c:v>2.3000000000000007</c:v>
                </c:pt>
                <c:pt idx="34">
                  <c:v>2.4000000000000008</c:v>
                </c:pt>
                <c:pt idx="35">
                  <c:v>2.5000000000000009</c:v>
                </c:pt>
                <c:pt idx="36">
                  <c:v>2.600000000000001</c:v>
                </c:pt>
                <c:pt idx="37">
                  <c:v>2.7000000000000011</c:v>
                </c:pt>
                <c:pt idx="38">
                  <c:v>2.8000000000000012</c:v>
                </c:pt>
                <c:pt idx="39">
                  <c:v>2.9000000000000012</c:v>
                </c:pt>
                <c:pt idx="40">
                  <c:v>3.0000000000000013</c:v>
                </c:pt>
                <c:pt idx="41">
                  <c:v>3.1000000000000014</c:v>
                </c:pt>
                <c:pt idx="42">
                  <c:v>3.2000000000000015</c:v>
                </c:pt>
                <c:pt idx="43">
                  <c:v>3.3000000000000016</c:v>
                </c:pt>
                <c:pt idx="44">
                  <c:v>3.4000000000000017</c:v>
                </c:pt>
                <c:pt idx="45">
                  <c:v>3.5000000000000018</c:v>
                </c:pt>
                <c:pt idx="46">
                  <c:v>3.6000000000000019</c:v>
                </c:pt>
                <c:pt idx="47">
                  <c:v>3.700000000000002</c:v>
                </c:pt>
                <c:pt idx="48">
                  <c:v>3.800000000000002</c:v>
                </c:pt>
                <c:pt idx="49">
                  <c:v>3.9000000000000021</c:v>
                </c:pt>
                <c:pt idx="50">
                  <c:v>4.0000000000000018</c:v>
                </c:pt>
                <c:pt idx="51">
                  <c:v>4.1000000000000014</c:v>
                </c:pt>
                <c:pt idx="52">
                  <c:v>4.2000000000000011</c:v>
                </c:pt>
                <c:pt idx="53">
                  <c:v>4.3000000000000007</c:v>
                </c:pt>
                <c:pt idx="54">
                  <c:v>4.4000000000000004</c:v>
                </c:pt>
                <c:pt idx="55">
                  <c:v>4.5</c:v>
                </c:pt>
                <c:pt idx="56">
                  <c:v>4.5999999999999996</c:v>
                </c:pt>
                <c:pt idx="57">
                  <c:v>4.6999999999999993</c:v>
                </c:pt>
                <c:pt idx="58">
                  <c:v>4.7999999999999989</c:v>
                </c:pt>
                <c:pt idx="59">
                  <c:v>4.8999999999999986</c:v>
                </c:pt>
                <c:pt idx="60">
                  <c:v>4.9999999999999982</c:v>
                </c:pt>
                <c:pt idx="61">
                  <c:v>5.0999999999999979</c:v>
                </c:pt>
                <c:pt idx="62">
                  <c:v>5.1999999999999975</c:v>
                </c:pt>
                <c:pt idx="63">
                  <c:v>5.2999999999999972</c:v>
                </c:pt>
                <c:pt idx="64">
                  <c:v>5.3999999999999968</c:v>
                </c:pt>
                <c:pt idx="65">
                  <c:v>5.4999999999999964</c:v>
                </c:pt>
                <c:pt idx="66">
                  <c:v>5.5999999999999961</c:v>
                </c:pt>
                <c:pt idx="67">
                  <c:v>5.6999999999999957</c:v>
                </c:pt>
                <c:pt idx="68">
                  <c:v>5.7999999999999954</c:v>
                </c:pt>
                <c:pt idx="69">
                  <c:v>5.899999999999995</c:v>
                </c:pt>
                <c:pt idx="70">
                  <c:v>5.9999999999999947</c:v>
                </c:pt>
                <c:pt idx="71">
                  <c:v>6.0999999999999943</c:v>
                </c:pt>
                <c:pt idx="72">
                  <c:v>6.199999999999994</c:v>
                </c:pt>
                <c:pt idx="73">
                  <c:v>6.2999999999999936</c:v>
                </c:pt>
                <c:pt idx="74">
                  <c:v>6.3999999999999932</c:v>
                </c:pt>
                <c:pt idx="75">
                  <c:v>6.4999999999999929</c:v>
                </c:pt>
                <c:pt idx="76">
                  <c:v>6.5999999999999925</c:v>
                </c:pt>
                <c:pt idx="77">
                  <c:v>6.6999999999999922</c:v>
                </c:pt>
                <c:pt idx="78">
                  <c:v>6.7999999999999918</c:v>
                </c:pt>
                <c:pt idx="79">
                  <c:v>6.8999999999999915</c:v>
                </c:pt>
                <c:pt idx="80">
                  <c:v>6.9999999999999911</c:v>
                </c:pt>
                <c:pt idx="81">
                  <c:v>7.0999999999999908</c:v>
                </c:pt>
                <c:pt idx="82">
                  <c:v>7.1999999999999904</c:v>
                </c:pt>
                <c:pt idx="83">
                  <c:v>7.2999999999999901</c:v>
                </c:pt>
                <c:pt idx="84">
                  <c:v>7.3999999999999897</c:v>
                </c:pt>
                <c:pt idx="85">
                  <c:v>7.4999999999999893</c:v>
                </c:pt>
                <c:pt idx="86">
                  <c:v>7.599999999999989</c:v>
                </c:pt>
                <c:pt idx="87">
                  <c:v>7.6999999999999886</c:v>
                </c:pt>
                <c:pt idx="88">
                  <c:v>7.7999999999999883</c:v>
                </c:pt>
                <c:pt idx="89">
                  <c:v>7.8999999999999879</c:v>
                </c:pt>
                <c:pt idx="90">
                  <c:v>7.9999999999999876</c:v>
                </c:pt>
                <c:pt idx="91">
                  <c:v>8.0999999999999872</c:v>
                </c:pt>
                <c:pt idx="92">
                  <c:v>8.1999999999999869</c:v>
                </c:pt>
                <c:pt idx="93">
                  <c:v>8.2999999999999865</c:v>
                </c:pt>
                <c:pt idx="94">
                  <c:v>8.3999999999999861</c:v>
                </c:pt>
                <c:pt idx="95">
                  <c:v>8.4999999999999858</c:v>
                </c:pt>
                <c:pt idx="96">
                  <c:v>8.5999999999999854</c:v>
                </c:pt>
                <c:pt idx="97">
                  <c:v>8.6999999999999851</c:v>
                </c:pt>
                <c:pt idx="98">
                  <c:v>8.7999999999999847</c:v>
                </c:pt>
                <c:pt idx="99">
                  <c:v>8.8999999999999844</c:v>
                </c:pt>
                <c:pt idx="100">
                  <c:v>8.999999999999984</c:v>
                </c:pt>
                <c:pt idx="101">
                  <c:v>9.0999999999999837</c:v>
                </c:pt>
                <c:pt idx="102">
                  <c:v>9.1999999999999833</c:v>
                </c:pt>
                <c:pt idx="103">
                  <c:v>9.2999999999999829</c:v>
                </c:pt>
                <c:pt idx="104">
                  <c:v>9.3999999999999826</c:v>
                </c:pt>
                <c:pt idx="105">
                  <c:v>9.4999999999999822</c:v>
                </c:pt>
                <c:pt idx="106">
                  <c:v>9.5999999999999819</c:v>
                </c:pt>
                <c:pt idx="107">
                  <c:v>9.6999999999999815</c:v>
                </c:pt>
                <c:pt idx="108">
                  <c:v>9.7999999999999812</c:v>
                </c:pt>
                <c:pt idx="109">
                  <c:v>9.8999999999999808</c:v>
                </c:pt>
                <c:pt idx="110">
                  <c:v>9.9999999999999805</c:v>
                </c:pt>
                <c:pt idx="111">
                  <c:v>10.09999999999998</c:v>
                </c:pt>
                <c:pt idx="112">
                  <c:v>10.19999999999998</c:v>
                </c:pt>
                <c:pt idx="113">
                  <c:v>10.299999999999979</c:v>
                </c:pt>
                <c:pt idx="114">
                  <c:v>10.399999999999979</c:v>
                </c:pt>
                <c:pt idx="115">
                  <c:v>10.499999999999979</c:v>
                </c:pt>
                <c:pt idx="116">
                  <c:v>10.599999999999978</c:v>
                </c:pt>
                <c:pt idx="117">
                  <c:v>10.699999999999978</c:v>
                </c:pt>
                <c:pt idx="118">
                  <c:v>10.799999999999978</c:v>
                </c:pt>
                <c:pt idx="119">
                  <c:v>10.899999999999977</c:v>
                </c:pt>
                <c:pt idx="120">
                  <c:v>10.999999999999977</c:v>
                </c:pt>
                <c:pt idx="121">
                  <c:v>11.099999999999977</c:v>
                </c:pt>
                <c:pt idx="122">
                  <c:v>11.199999999999976</c:v>
                </c:pt>
                <c:pt idx="123">
                  <c:v>11.299999999999976</c:v>
                </c:pt>
                <c:pt idx="124">
                  <c:v>11.399999999999975</c:v>
                </c:pt>
                <c:pt idx="125">
                  <c:v>11.499999999999975</c:v>
                </c:pt>
                <c:pt idx="126">
                  <c:v>11.599999999999975</c:v>
                </c:pt>
                <c:pt idx="127">
                  <c:v>11.699999999999974</c:v>
                </c:pt>
                <c:pt idx="128">
                  <c:v>11.799999999999974</c:v>
                </c:pt>
                <c:pt idx="129">
                  <c:v>11.899999999999974</c:v>
                </c:pt>
                <c:pt idx="130">
                  <c:v>11.999999999999973</c:v>
                </c:pt>
                <c:pt idx="131">
                  <c:v>12.099999999999973</c:v>
                </c:pt>
                <c:pt idx="132">
                  <c:v>12.199999999999973</c:v>
                </c:pt>
                <c:pt idx="133">
                  <c:v>12.299999999999972</c:v>
                </c:pt>
                <c:pt idx="134">
                  <c:v>12.399999999999972</c:v>
                </c:pt>
                <c:pt idx="135">
                  <c:v>12.499999999999972</c:v>
                </c:pt>
                <c:pt idx="136">
                  <c:v>12.599999999999971</c:v>
                </c:pt>
                <c:pt idx="137">
                  <c:v>12.699999999999971</c:v>
                </c:pt>
                <c:pt idx="138">
                  <c:v>12.799999999999971</c:v>
                </c:pt>
                <c:pt idx="139">
                  <c:v>12.89999999999997</c:v>
                </c:pt>
                <c:pt idx="140">
                  <c:v>12.99999999999997</c:v>
                </c:pt>
                <c:pt idx="141">
                  <c:v>13.099999999999969</c:v>
                </c:pt>
                <c:pt idx="142">
                  <c:v>13.199999999999969</c:v>
                </c:pt>
                <c:pt idx="143">
                  <c:v>13.299999999999969</c:v>
                </c:pt>
                <c:pt idx="144">
                  <c:v>13.399999999999968</c:v>
                </c:pt>
                <c:pt idx="145">
                  <c:v>13.499999999999968</c:v>
                </c:pt>
                <c:pt idx="146">
                  <c:v>13.599999999999968</c:v>
                </c:pt>
                <c:pt idx="147">
                  <c:v>13.699999999999967</c:v>
                </c:pt>
                <c:pt idx="148">
                  <c:v>13.799999999999967</c:v>
                </c:pt>
                <c:pt idx="149">
                  <c:v>13.899999999999967</c:v>
                </c:pt>
                <c:pt idx="150">
                  <c:v>13.999999999999966</c:v>
                </c:pt>
                <c:pt idx="151">
                  <c:v>14.099999999999966</c:v>
                </c:pt>
                <c:pt idx="152">
                  <c:v>14.199999999999966</c:v>
                </c:pt>
                <c:pt idx="153">
                  <c:v>14.299999999999965</c:v>
                </c:pt>
                <c:pt idx="154">
                  <c:v>14.399999999999965</c:v>
                </c:pt>
                <c:pt idx="155">
                  <c:v>14.499999999999964</c:v>
                </c:pt>
                <c:pt idx="156">
                  <c:v>14.599999999999964</c:v>
                </c:pt>
                <c:pt idx="157">
                  <c:v>14.699999999999964</c:v>
                </c:pt>
                <c:pt idx="158">
                  <c:v>14.799999999999963</c:v>
                </c:pt>
                <c:pt idx="159">
                  <c:v>14.899999999999963</c:v>
                </c:pt>
                <c:pt idx="160">
                  <c:v>14.999999999999963</c:v>
                </c:pt>
              </c:numCache>
            </c:numRef>
          </c:xVal>
          <c:yVal>
            <c:numRef>
              <c:f>AtmDisp!$X$6:$X$166</c:f>
              <c:numCache>
                <c:formatCode>General</c:formatCode>
                <c:ptCount val="161"/>
                <c:pt idx="0">
                  <c:v>#N/A</c:v>
                </c:pt>
                <c:pt idx="1">
                  <c:v>5.4931652056716658</c:v>
                </c:pt>
                <c:pt idx="2">
                  <c:v>4.9395799565148355</c:v>
                </c:pt>
                <c:pt idx="3">
                  <c:v>4.4856170270757927</c:v>
                </c:pt>
                <c:pt idx="4">
                  <c:v>4.106340411332587</c:v>
                </c:pt>
                <c:pt idx="5">
                  <c:v>3.7844919601347935</c:v>
                </c:pt>
                <c:pt idx="6">
                  <c:v>3.5077476957937455</c:v>
                </c:pt>
                <c:pt idx="7">
                  <c:v>3.2670721963016938</c:v>
                </c:pt>
                <c:pt idx="8">
                  <c:v>3.0556904016872122</c:v>
                </c:pt>
                <c:pt idx="9">
                  <c:v>2.8684224894824233</c:v>
                </c:pt>
                <c:pt idx="10">
                  <c:v>2.7012405628042395</c:v>
                </c:pt>
                <c:pt idx="11">
                  <c:v>2.5509653963002696</c:v>
                </c:pt>
                <c:pt idx="12">
                  <c:v>2.4150542003802635</c:v>
                </c:pt>
                <c:pt idx="13">
                  <c:v>2.2914490531617191</c:v>
                </c:pt>
                <c:pt idx="14">
                  <c:v>2.1784666902715997</c:v>
                </c:pt>
                <c:pt idx="15">
                  <c:v>2.074717061579165</c:v>
                </c:pt>
                <c:pt idx="16">
                  <c:v>1.9790422624371877</c:v>
                </c:pt>
                <c:pt idx="17">
                  <c:v>1.8904701335810579</c:v>
                </c:pt>
                <c:pt idx="18">
                  <c:v>1.8081785801726085</c:v>
                </c:pt>
                <c:pt idx="19">
                  <c:v>1.7314678312162828</c:v>
                </c:pt>
                <c:pt idx="20">
                  <c:v>1.6597386549257376</c:v>
                </c:pt>
                <c:pt idx="21">
                  <c:v>1.592475093410034</c:v>
                </c:pt>
                <c:pt idx="22">
                  <c:v>1.5292306634946644</c:v>
                </c:pt>
                <c:pt idx="23">
                  <c:v>1.469617242628606</c:v>
                </c:pt>
                <c:pt idx="24">
                  <c:v>1.4132960544552859</c:v>
                </c:pt>
                <c:pt idx="25">
                  <c:v>1.3599703109415782</c:v>
                </c:pt>
                <c:pt idx="26">
                  <c:v>1.3093791726577424</c:v>
                </c:pt>
                <c:pt idx="27">
                  <c:v>1.2612927666437366</c:v>
                </c:pt>
                <c:pt idx="28">
                  <c:v>1.2155080597572083</c:v>
                </c:pt>
                <c:pt idx="29">
                  <c:v>1.1718454297282601</c:v>
                </c:pt>
                <c:pt idx="30">
                  <c:v>1.1301458100782933</c:v>
                </c:pt>
                <c:pt idx="31">
                  <c:v>1.0902683112746498</c:v>
                </c:pt>
                <c:pt idx="32">
                  <c:v>1.052088240930749</c:v>
                </c:pt>
                <c:pt idx="33">
                  <c:v>1.0154954619403627</c:v>
                </c:pt>
                <c:pt idx="34">
                  <c:v>0.98039304019390305</c:v>
                </c:pt>
                <c:pt idx="35">
                  <c:v>0.94669614372601485</c:v>
                </c:pt>
                <c:pt idx="36">
                  <c:v>0.9143311633391904</c:v>
                </c:pt>
                <c:pt idx="37">
                  <c:v>0.88323503132357817</c:v>
                </c:pt>
                <c:pt idx="38">
                  <c:v>0.85335472009461188</c:v>
                </c:pt>
                <c:pt idx="39">
                  <c:v>0.82464690651460681</c:v>
                </c:pt>
                <c:pt idx="40">
                  <c:v>0.79707779033820714</c:v>
                </c:pt>
                <c:pt idx="41">
                  <c:v>0.77062305646626705</c:v>
                </c:pt>
                <c:pt idx="42">
                  <c:v>0.74526797018296209</c:v>
                </c:pt>
                <c:pt idx="43">
                  <c:v>0.72100759176634621</c:v>
                </c:pt>
                <c:pt idx="44">
                  <c:v>0.69784709106679399</c:v>
                </c:pt>
                <c:pt idx="45">
                  <c:v>0.67580213289503921</c:v>
                </c:pt>
                <c:pt idx="46">
                  <c:v>0.65489928927164254</c:v>
                </c:pt>
                <c:pt idx="47">
                  <c:v>0.63517641375814615</c:v>
                </c:pt>
                <c:pt idx="48">
                  <c:v>0.61668288572898189</c:v>
                </c:pt>
                <c:pt idx="49">
                  <c:v>0.59947959936683803</c:v>
                </c:pt>
                <c:pt idx="50">
                  <c:v>0.58363853669440557</c:v>
                </c:pt>
                <c:pt idx="51">
                  <c:v>0.56924173345520312</c:v>
                </c:pt>
                <c:pt idx="52">
                  <c:v>0.55637943391193634</c:v>
                </c:pt>
                <c:pt idx="53">
                  <c:v>0.54514725395231622</c:v>
                </c:pt>
                <c:pt idx="54">
                  <c:v>0.53564225209542515</c:v>
                </c:pt>
                <c:pt idx="55">
                  <c:v>0.52795796037166498</c:v>
                </c:pt>
                <c:pt idx="56">
                  <c:v>0.52217864825724747</c:v>
                </c:pt>
                <c:pt idx="57">
                  <c:v>0.51837334711862804</c:v>
                </c:pt>
                <c:pt idx="58">
                  <c:v>0.51659037760517657</c:v>
                </c:pt>
                <c:pt idx="59">
                  <c:v>0.51685320630107745</c:v>
                </c:pt>
                <c:pt idx="60">
                  <c:v>0.51915834002335604</c:v>
                </c:pt>
                <c:pt idx="61">
                  <c:v>0.52347564315764739</c:v>
                </c:pt>
                <c:pt idx="62">
                  <c:v>0.52975101889416099</c:v>
                </c:pt>
                <c:pt idx="63">
                  <c:v>0.53791096976003583</c:v>
                </c:pt>
                <c:pt idx="64">
                  <c:v>0.54786827785775416</c:v>
                </c:pt>
                <c:pt idx="65">
                  <c:v>0.55952798274790483</c:v>
                </c:pt>
                <c:pt idx="66">
                  <c:v>0.57279296087945308</c:v>
                </c:pt>
                <c:pt idx="67">
                  <c:v>0.58756864406300047</c:v>
                </c:pt>
                <c:pt idx="68">
                  <c:v>0.60376666580831417</c:v>
                </c:pt>
                <c:pt idx="69">
                  <c:v>0.62130742981730169</c:v>
                </c:pt>
                <c:pt idx="70">
                  <c:v>0.6401217280971544</c:v>
                </c:pt>
                <c:pt idx="71">
                  <c:v>0.66015159989315897</c:v>
                </c:pt>
                <c:pt idx="72">
                  <c:v>0.68135063472847357</c:v>
                </c:pt>
                <c:pt idx="73">
                  <c:v>0.70368390399216263</c:v>
                </c:pt>
                <c:pt idx="74">
                  <c:v>0.72712767275607915</c:v>
                </c:pt>
                <c:pt idx="75">
                  <c:v>0.75166900813275273</c:v>
                </c:pt>
                <c:pt idx="76">
                  <c:v>0.77730536868477385</c:v>
                </c:pt>
                <c:pt idx="77">
                  <c:v>0.8040442337022724</c:v>
                </c:pt>
                <c:pt idx="78">
                  <c:v>0.83190281196138116</c:v>
                </c:pt>
                <c:pt idx="79">
                  <c:v>0.86090785618341448</c:v>
                </c:pt>
                <c:pt idx="80">
                  <c:v>0.89109560077693561</c:v>
                </c:pt>
                <c:pt idx="81">
                  <c:v>0.92251183550415283</c:v>
                </c:pt>
                <c:pt idx="82">
                  <c:v>0.95521212557352442</c:v>
                </c:pt>
                <c:pt idx="83">
                  <c:v>0.98926218864218796</c:v>
                </c:pt>
                <c:pt idx="84">
                  <c:v>1.0247384408470881</c:v>
                </c:pt>
                <c:pt idx="85">
                  <c:v>1.0617287269924385</c:v>
                </c:pt>
                <c:pt idx="86">
                  <c:v>1.1003332542841207</c:v>
                </c:pt>
                <c:pt idx="87">
                  <c:v>1.1406657545393581</c:v>
                </c:pt>
                <c:pt idx="88">
                  <c:v>1.1828549067623453</c:v>
                </c:pt>
                <c:pt idx="89">
                  <c:v>1.2270460606437674</c:v>
                </c:pt>
                <c:pt idx="90">
                  <c:v>1.2734033123397361</c:v>
                </c:pt>
                <c:pt idx="91">
                  <c:v>1.3221119974143134</c:v>
                </c:pt>
                <c:pt idx="92">
                  <c:v>1.3733816829149577</c:v>
                </c:pt>
                <c:pt idx="93">
                  <c:v>1.4274497623171978</c:v>
                </c:pt>
                <c:pt idx="94">
                  <c:v>1.484585785059128</c:v>
                </c:pt>
                <c:pt idx="95">
                  <c:v>1.5450966886951538</c:v>
                </c:pt>
                <c:pt idx="96">
                  <c:v>1.6093331492464833</c:v>
                </c:pt>
                <c:pt idx="97">
                  <c:v>1.6776973281837069</c:v>
                </c:pt>
                <c:pt idx="98">
                  <c:v>1.7506523783879822</c:v>
                </c:pt>
                <c:pt idx="99">
                  <c:v>1.8287341845988903</c:v>
                </c:pt>
                <c:pt idx="100">
                  <c:v>1.9125659681089313</c:v>
                </c:pt>
                <c:pt idx="101">
                  <c:v>2.0028765981323788</c:v>
                </c:pt>
                <c:pt idx="102">
                  <c:v>2.1005237490652982</c:v>
                </c:pt>
                <c:pt idx="103">
                  <c:v>2.206523462477588</c:v>
                </c:pt>
                <c:pt idx="104">
                  <c:v>2.3220882743853974</c:v>
                </c:pt>
                <c:pt idx="105">
                  <c:v>2.4486769444144909</c:v>
                </c:pt>
                <c:pt idx="106">
                  <c:v>2.5880601203261935</c:v>
                </c:pt>
                <c:pt idx="107">
                  <c:v>2.7424082263097267</c:v>
                </c:pt>
                <c:pt idx="108">
                  <c:v>2.9144108696756459</c:v>
                </c:pt>
                <c:pt idx="109">
                  <c:v>3.1074417862327519</c:v>
                </c:pt>
                <c:pt idx="110">
                  <c:v>3.3257909565634951</c:v>
                </c:pt>
                <c:pt idx="111">
                  <c:v>3.5749981249894431</c:v>
                </c:pt>
                <c:pt idx="112">
                  <c:v>3.8623434566159873</c:v>
                </c:pt>
                <c:pt idx="113">
                  <c:v>4.1975890628109429</c:v>
                </c:pt>
                <c:pt idx="114">
                  <c:v>4.5941349735346391</c:v>
                </c:pt>
                <c:pt idx="115">
                  <c:v>5.0708875550709651</c:v>
                </c:pt>
                <c:pt idx="116">
                  <c:v>5.6554112842309543</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numCache>
            </c:numRef>
          </c:yVal>
          <c:smooth val="1"/>
          <c:extLst>
            <c:ext xmlns:c16="http://schemas.microsoft.com/office/drawing/2014/chart" uri="{C3380CC4-5D6E-409C-BE32-E72D297353CC}">
              <c16:uniqueId val="{00000002-61F0-7342-B978-2A30CEEF6918}"/>
            </c:ext>
          </c:extLst>
        </c:ser>
        <c:ser>
          <c:idx val="7"/>
          <c:order val="2"/>
          <c:tx>
            <c:v>5500A</c:v>
          </c:tx>
          <c:spPr>
            <a:ln w="12700">
              <a:solidFill>
                <a:srgbClr val="00B050"/>
              </a:solidFill>
            </a:ln>
          </c:spPr>
          <c:marker>
            <c:symbol val="none"/>
          </c:marker>
          <c:xVal>
            <c:numRef>
              <c:f>AtmDisp!$P$6:$P$166</c:f>
              <c:numCache>
                <c:formatCode>0.00</c:formatCode>
                <c:ptCount val="161"/>
                <c:pt idx="0">
                  <c:v>-1</c:v>
                </c:pt>
                <c:pt idx="1">
                  <c:v>-0.9</c:v>
                </c:pt>
                <c:pt idx="2">
                  <c:v>-0.8</c:v>
                </c:pt>
                <c:pt idx="3">
                  <c:v>-0.70000000000000007</c:v>
                </c:pt>
                <c:pt idx="4">
                  <c:v>-0.60000000000000009</c:v>
                </c:pt>
                <c:pt idx="5">
                  <c:v>-0.50000000000000011</c:v>
                </c:pt>
                <c:pt idx="6">
                  <c:v>-0.40000000000000013</c:v>
                </c:pt>
                <c:pt idx="7">
                  <c:v>-0.30000000000000016</c:v>
                </c:pt>
                <c:pt idx="8">
                  <c:v>-0.20000000000000015</c:v>
                </c:pt>
                <c:pt idx="9">
                  <c:v>-0.10000000000000014</c:v>
                </c:pt>
                <c:pt idx="10">
                  <c:v>-1.3877787807814457E-16</c:v>
                </c:pt>
                <c:pt idx="11">
                  <c:v>9.9999999999999867E-2</c:v>
                </c:pt>
                <c:pt idx="12">
                  <c:v>0.19999999999999987</c:v>
                </c:pt>
                <c:pt idx="13">
                  <c:v>0.29999999999999988</c:v>
                </c:pt>
                <c:pt idx="14">
                  <c:v>0.39999999999999991</c:v>
                </c:pt>
                <c:pt idx="15">
                  <c:v>0.49999999999999989</c:v>
                </c:pt>
                <c:pt idx="16">
                  <c:v>0.59999999999999987</c:v>
                </c:pt>
                <c:pt idx="17">
                  <c:v>0.69999999999999984</c:v>
                </c:pt>
                <c:pt idx="18">
                  <c:v>0.79999999999999982</c:v>
                </c:pt>
                <c:pt idx="19">
                  <c:v>0.8999999999999998</c:v>
                </c:pt>
                <c:pt idx="20">
                  <c:v>0.99999999999999978</c:v>
                </c:pt>
                <c:pt idx="21">
                  <c:v>1.0999999999999999</c:v>
                </c:pt>
                <c:pt idx="22">
                  <c:v>1.2</c:v>
                </c:pt>
                <c:pt idx="23">
                  <c:v>1.3</c:v>
                </c:pt>
                <c:pt idx="24">
                  <c:v>1.4000000000000001</c:v>
                </c:pt>
                <c:pt idx="25">
                  <c:v>1.5000000000000002</c:v>
                </c:pt>
                <c:pt idx="26">
                  <c:v>1.6000000000000003</c:v>
                </c:pt>
                <c:pt idx="27">
                  <c:v>1.7000000000000004</c:v>
                </c:pt>
                <c:pt idx="28">
                  <c:v>1.8000000000000005</c:v>
                </c:pt>
                <c:pt idx="29">
                  <c:v>1.9000000000000006</c:v>
                </c:pt>
                <c:pt idx="30">
                  <c:v>2.0000000000000004</c:v>
                </c:pt>
                <c:pt idx="31">
                  <c:v>2.1000000000000005</c:v>
                </c:pt>
                <c:pt idx="32">
                  <c:v>2.2000000000000006</c:v>
                </c:pt>
                <c:pt idx="33">
                  <c:v>2.3000000000000007</c:v>
                </c:pt>
                <c:pt idx="34">
                  <c:v>2.4000000000000008</c:v>
                </c:pt>
                <c:pt idx="35">
                  <c:v>2.5000000000000009</c:v>
                </c:pt>
                <c:pt idx="36">
                  <c:v>2.600000000000001</c:v>
                </c:pt>
                <c:pt idx="37">
                  <c:v>2.7000000000000011</c:v>
                </c:pt>
                <c:pt idx="38">
                  <c:v>2.8000000000000012</c:v>
                </c:pt>
                <c:pt idx="39">
                  <c:v>2.9000000000000012</c:v>
                </c:pt>
                <c:pt idx="40">
                  <c:v>3.0000000000000013</c:v>
                </c:pt>
                <c:pt idx="41">
                  <c:v>3.1000000000000014</c:v>
                </c:pt>
                <c:pt idx="42">
                  <c:v>3.2000000000000015</c:v>
                </c:pt>
                <c:pt idx="43">
                  <c:v>3.3000000000000016</c:v>
                </c:pt>
                <c:pt idx="44">
                  <c:v>3.4000000000000017</c:v>
                </c:pt>
                <c:pt idx="45">
                  <c:v>3.5000000000000018</c:v>
                </c:pt>
                <c:pt idx="46">
                  <c:v>3.6000000000000019</c:v>
                </c:pt>
                <c:pt idx="47">
                  <c:v>3.700000000000002</c:v>
                </c:pt>
                <c:pt idx="48">
                  <c:v>3.800000000000002</c:v>
                </c:pt>
                <c:pt idx="49">
                  <c:v>3.9000000000000021</c:v>
                </c:pt>
                <c:pt idx="50">
                  <c:v>4.0000000000000018</c:v>
                </c:pt>
                <c:pt idx="51">
                  <c:v>4.1000000000000014</c:v>
                </c:pt>
                <c:pt idx="52">
                  <c:v>4.2000000000000011</c:v>
                </c:pt>
                <c:pt idx="53">
                  <c:v>4.3000000000000007</c:v>
                </c:pt>
                <c:pt idx="54">
                  <c:v>4.4000000000000004</c:v>
                </c:pt>
                <c:pt idx="55">
                  <c:v>4.5</c:v>
                </c:pt>
                <c:pt idx="56">
                  <c:v>4.5999999999999996</c:v>
                </c:pt>
                <c:pt idx="57">
                  <c:v>4.6999999999999993</c:v>
                </c:pt>
                <c:pt idx="58">
                  <c:v>4.7999999999999989</c:v>
                </c:pt>
                <c:pt idx="59">
                  <c:v>4.8999999999999986</c:v>
                </c:pt>
                <c:pt idx="60">
                  <c:v>4.9999999999999982</c:v>
                </c:pt>
                <c:pt idx="61">
                  <c:v>5.0999999999999979</c:v>
                </c:pt>
                <c:pt idx="62">
                  <c:v>5.1999999999999975</c:v>
                </c:pt>
                <c:pt idx="63">
                  <c:v>5.2999999999999972</c:v>
                </c:pt>
                <c:pt idx="64">
                  <c:v>5.3999999999999968</c:v>
                </c:pt>
                <c:pt idx="65">
                  <c:v>5.4999999999999964</c:v>
                </c:pt>
                <c:pt idx="66">
                  <c:v>5.5999999999999961</c:v>
                </c:pt>
                <c:pt idx="67">
                  <c:v>5.6999999999999957</c:v>
                </c:pt>
                <c:pt idx="68">
                  <c:v>5.7999999999999954</c:v>
                </c:pt>
                <c:pt idx="69">
                  <c:v>5.899999999999995</c:v>
                </c:pt>
                <c:pt idx="70">
                  <c:v>5.9999999999999947</c:v>
                </c:pt>
                <c:pt idx="71">
                  <c:v>6.0999999999999943</c:v>
                </c:pt>
                <c:pt idx="72">
                  <c:v>6.199999999999994</c:v>
                </c:pt>
                <c:pt idx="73">
                  <c:v>6.2999999999999936</c:v>
                </c:pt>
                <c:pt idx="74">
                  <c:v>6.3999999999999932</c:v>
                </c:pt>
                <c:pt idx="75">
                  <c:v>6.4999999999999929</c:v>
                </c:pt>
                <c:pt idx="76">
                  <c:v>6.5999999999999925</c:v>
                </c:pt>
                <c:pt idx="77">
                  <c:v>6.6999999999999922</c:v>
                </c:pt>
                <c:pt idx="78">
                  <c:v>6.7999999999999918</c:v>
                </c:pt>
                <c:pt idx="79">
                  <c:v>6.8999999999999915</c:v>
                </c:pt>
                <c:pt idx="80">
                  <c:v>6.9999999999999911</c:v>
                </c:pt>
                <c:pt idx="81">
                  <c:v>7.0999999999999908</c:v>
                </c:pt>
                <c:pt idx="82">
                  <c:v>7.1999999999999904</c:v>
                </c:pt>
                <c:pt idx="83">
                  <c:v>7.2999999999999901</c:v>
                </c:pt>
                <c:pt idx="84">
                  <c:v>7.3999999999999897</c:v>
                </c:pt>
                <c:pt idx="85">
                  <c:v>7.4999999999999893</c:v>
                </c:pt>
                <c:pt idx="86">
                  <c:v>7.599999999999989</c:v>
                </c:pt>
                <c:pt idx="87">
                  <c:v>7.6999999999999886</c:v>
                </c:pt>
                <c:pt idx="88">
                  <c:v>7.7999999999999883</c:v>
                </c:pt>
                <c:pt idx="89">
                  <c:v>7.8999999999999879</c:v>
                </c:pt>
                <c:pt idx="90">
                  <c:v>7.9999999999999876</c:v>
                </c:pt>
                <c:pt idx="91">
                  <c:v>8.0999999999999872</c:v>
                </c:pt>
                <c:pt idx="92">
                  <c:v>8.1999999999999869</c:v>
                </c:pt>
                <c:pt idx="93">
                  <c:v>8.2999999999999865</c:v>
                </c:pt>
                <c:pt idx="94">
                  <c:v>8.3999999999999861</c:v>
                </c:pt>
                <c:pt idx="95">
                  <c:v>8.4999999999999858</c:v>
                </c:pt>
                <c:pt idx="96">
                  <c:v>8.5999999999999854</c:v>
                </c:pt>
                <c:pt idx="97">
                  <c:v>8.6999999999999851</c:v>
                </c:pt>
                <c:pt idx="98">
                  <c:v>8.7999999999999847</c:v>
                </c:pt>
                <c:pt idx="99">
                  <c:v>8.8999999999999844</c:v>
                </c:pt>
                <c:pt idx="100">
                  <c:v>8.999999999999984</c:v>
                </c:pt>
                <c:pt idx="101">
                  <c:v>9.0999999999999837</c:v>
                </c:pt>
                <c:pt idx="102">
                  <c:v>9.1999999999999833</c:v>
                </c:pt>
                <c:pt idx="103">
                  <c:v>9.2999999999999829</c:v>
                </c:pt>
                <c:pt idx="104">
                  <c:v>9.3999999999999826</c:v>
                </c:pt>
                <c:pt idx="105">
                  <c:v>9.4999999999999822</c:v>
                </c:pt>
                <c:pt idx="106">
                  <c:v>9.5999999999999819</c:v>
                </c:pt>
                <c:pt idx="107">
                  <c:v>9.6999999999999815</c:v>
                </c:pt>
                <c:pt idx="108">
                  <c:v>9.7999999999999812</c:v>
                </c:pt>
                <c:pt idx="109">
                  <c:v>9.8999999999999808</c:v>
                </c:pt>
                <c:pt idx="110">
                  <c:v>9.9999999999999805</c:v>
                </c:pt>
                <c:pt idx="111">
                  <c:v>10.09999999999998</c:v>
                </c:pt>
                <c:pt idx="112">
                  <c:v>10.19999999999998</c:v>
                </c:pt>
                <c:pt idx="113">
                  <c:v>10.299999999999979</c:v>
                </c:pt>
                <c:pt idx="114">
                  <c:v>10.399999999999979</c:v>
                </c:pt>
                <c:pt idx="115">
                  <c:v>10.499999999999979</c:v>
                </c:pt>
                <c:pt idx="116">
                  <c:v>10.599999999999978</c:v>
                </c:pt>
                <c:pt idx="117">
                  <c:v>10.699999999999978</c:v>
                </c:pt>
                <c:pt idx="118">
                  <c:v>10.799999999999978</c:v>
                </c:pt>
                <c:pt idx="119">
                  <c:v>10.899999999999977</c:v>
                </c:pt>
                <c:pt idx="120">
                  <c:v>10.999999999999977</c:v>
                </c:pt>
                <c:pt idx="121">
                  <c:v>11.099999999999977</c:v>
                </c:pt>
                <c:pt idx="122">
                  <c:v>11.199999999999976</c:v>
                </c:pt>
                <c:pt idx="123">
                  <c:v>11.299999999999976</c:v>
                </c:pt>
                <c:pt idx="124">
                  <c:v>11.399999999999975</c:v>
                </c:pt>
                <c:pt idx="125">
                  <c:v>11.499999999999975</c:v>
                </c:pt>
                <c:pt idx="126">
                  <c:v>11.599999999999975</c:v>
                </c:pt>
                <c:pt idx="127">
                  <c:v>11.699999999999974</c:v>
                </c:pt>
                <c:pt idx="128">
                  <c:v>11.799999999999974</c:v>
                </c:pt>
                <c:pt idx="129">
                  <c:v>11.899999999999974</c:v>
                </c:pt>
                <c:pt idx="130">
                  <c:v>11.999999999999973</c:v>
                </c:pt>
                <c:pt idx="131">
                  <c:v>12.099999999999973</c:v>
                </c:pt>
                <c:pt idx="132">
                  <c:v>12.199999999999973</c:v>
                </c:pt>
                <c:pt idx="133">
                  <c:v>12.299999999999972</c:v>
                </c:pt>
                <c:pt idx="134">
                  <c:v>12.399999999999972</c:v>
                </c:pt>
                <c:pt idx="135">
                  <c:v>12.499999999999972</c:v>
                </c:pt>
                <c:pt idx="136">
                  <c:v>12.599999999999971</c:v>
                </c:pt>
                <c:pt idx="137">
                  <c:v>12.699999999999971</c:v>
                </c:pt>
                <c:pt idx="138">
                  <c:v>12.799999999999971</c:v>
                </c:pt>
                <c:pt idx="139">
                  <c:v>12.89999999999997</c:v>
                </c:pt>
                <c:pt idx="140">
                  <c:v>12.99999999999997</c:v>
                </c:pt>
                <c:pt idx="141">
                  <c:v>13.099999999999969</c:v>
                </c:pt>
                <c:pt idx="142">
                  <c:v>13.199999999999969</c:v>
                </c:pt>
                <c:pt idx="143">
                  <c:v>13.299999999999969</c:v>
                </c:pt>
                <c:pt idx="144">
                  <c:v>13.399999999999968</c:v>
                </c:pt>
                <c:pt idx="145">
                  <c:v>13.499999999999968</c:v>
                </c:pt>
                <c:pt idx="146">
                  <c:v>13.599999999999968</c:v>
                </c:pt>
                <c:pt idx="147">
                  <c:v>13.699999999999967</c:v>
                </c:pt>
                <c:pt idx="148">
                  <c:v>13.799999999999967</c:v>
                </c:pt>
                <c:pt idx="149">
                  <c:v>13.899999999999967</c:v>
                </c:pt>
                <c:pt idx="150">
                  <c:v>13.999999999999966</c:v>
                </c:pt>
                <c:pt idx="151">
                  <c:v>14.099999999999966</c:v>
                </c:pt>
                <c:pt idx="152">
                  <c:v>14.199999999999966</c:v>
                </c:pt>
                <c:pt idx="153">
                  <c:v>14.299999999999965</c:v>
                </c:pt>
                <c:pt idx="154">
                  <c:v>14.399999999999965</c:v>
                </c:pt>
                <c:pt idx="155">
                  <c:v>14.499999999999964</c:v>
                </c:pt>
                <c:pt idx="156">
                  <c:v>14.599999999999964</c:v>
                </c:pt>
                <c:pt idx="157">
                  <c:v>14.699999999999964</c:v>
                </c:pt>
                <c:pt idx="158">
                  <c:v>14.799999999999963</c:v>
                </c:pt>
                <c:pt idx="159">
                  <c:v>14.899999999999963</c:v>
                </c:pt>
                <c:pt idx="160">
                  <c:v>14.999999999999963</c:v>
                </c:pt>
              </c:numCache>
            </c:numRef>
          </c:xVal>
          <c:yVal>
            <c:numRef>
              <c:f>AtmDisp!$Y$6:$Y$166</c:f>
              <c:numCache>
                <c:formatCode>General</c:formatCode>
                <c:ptCount val="161"/>
                <c:pt idx="0">
                  <c:v>#N/A</c:v>
                </c:pt>
                <c:pt idx="1">
                  <c:v>3.6314255919564378</c:v>
                </c:pt>
                <c:pt idx="2">
                  <c:v>3.265083356295067</c:v>
                </c:pt>
                <c:pt idx="3">
                  <c:v>2.9646674858733282</c:v>
                </c:pt>
                <c:pt idx="4">
                  <c:v>2.7136762545190374</c:v>
                </c:pt>
                <c:pt idx="5">
                  <c:v>2.5006888576627553</c:v>
                </c:pt>
                <c:pt idx="6">
                  <c:v>2.3175497428478677</c:v>
                </c:pt>
                <c:pt idx="7">
                  <c:v>2.1582796020933461</c:v>
                </c:pt>
                <c:pt idx="8">
                  <c:v>2.0183949513821346</c:v>
                </c:pt>
                <c:pt idx="9">
                  <c:v>1.8944679758544607</c:v>
                </c:pt>
                <c:pt idx="10">
                  <c:v>1.7838331623821995</c:v>
                </c:pt>
                <c:pt idx="11">
                  <c:v>1.6843866172560431</c:v>
                </c:pt>
                <c:pt idx="12">
                  <c:v>1.5944456164064338</c:v>
                </c:pt>
                <c:pt idx="13">
                  <c:v>1.5126483032730664</c:v>
                </c:pt>
                <c:pt idx="14">
                  <c:v>1.4378807557733588</c:v>
                </c:pt>
                <c:pt idx="15">
                  <c:v>1.3692230901615787</c:v>
                </c:pt>
                <c:pt idx="16">
                  <c:v>1.3059090479837767</c:v>
                </c:pt>
                <c:pt idx="17">
                  <c:v>1.247295290207783</c:v>
                </c:pt>
                <c:pt idx="18">
                  <c:v>1.1928377848865783</c:v>
                </c:pt>
                <c:pt idx="19">
                  <c:v>1.1420734494662947</c:v>
                </c:pt>
                <c:pt idx="20">
                  <c:v>1.0946057345218481</c:v>
                </c:pt>
                <c:pt idx="21">
                  <c:v>1.050093198211062</c:v>
                </c:pt>
                <c:pt idx="22">
                  <c:v>1.0082403744885831</c:v>
                </c:pt>
                <c:pt idx="23">
                  <c:v>0.96879041821038192</c:v>
                </c:pt>
                <c:pt idx="24">
                  <c:v>0.93151913971814448</c:v>
                </c:pt>
                <c:pt idx="25">
                  <c:v>0.89623013567247822</c:v>
                </c:pt>
                <c:pt idx="26">
                  <c:v>0.86275079218964024</c:v>
                </c:pt>
                <c:pt idx="27">
                  <c:v>0.8309289878497983</c:v>
                </c:pt>
                <c:pt idx="28">
                  <c:v>0.80063036283141464</c:v>
                </c:pt>
                <c:pt idx="29">
                  <c:v>0.77173604976215737</c:v>
                </c:pt>
                <c:pt idx="30">
                  <c:v>0.74414078433182806</c:v>
                </c:pt>
                <c:pt idx="31">
                  <c:v>0.71775133106051858</c:v>
                </c:pt>
                <c:pt idx="32">
                  <c:v>0.69248517314031266</c:v>
                </c:pt>
                <c:pt idx="33">
                  <c:v>0.66826942590929705</c:v>
                </c:pt>
                <c:pt idx="34">
                  <c:v>0.64503994196023451</c:v>
                </c:pt>
                <c:pt idx="35">
                  <c:v>0.6227405826371708</c:v>
                </c:pt>
                <c:pt idx="36">
                  <c:v>0.60132263609667913</c:v>
                </c:pt>
                <c:pt idx="37">
                  <c:v>0.58074436646183702</c:v>
                </c:pt>
                <c:pt idx="38">
                  <c:v>0.56097068203915834</c:v>
                </c:pt>
                <c:pt idx="39">
                  <c:v>0.5419729131790465</c:v>
                </c:pt>
                <c:pt idx="40">
                  <c:v>0.52372869212970796</c:v>
                </c:pt>
                <c:pt idx="41">
                  <c:v>0.50622192805816835</c:v>
                </c:pt>
                <c:pt idx="42">
                  <c:v>0.48944287007466802</c:v>
                </c:pt>
                <c:pt idx="43">
                  <c:v>0.47338824925398915</c:v>
                </c:pt>
                <c:pt idx="44">
                  <c:v>0.45806148681182912</c:v>
                </c:pt>
                <c:pt idx="45">
                  <c:v>0.44347294914034552</c:v>
                </c:pt>
                <c:pt idx="46">
                  <c:v>0.42964022061960094</c:v>
                </c:pt>
                <c:pt idx="47">
                  <c:v>0.41658835133607125</c:v>
                </c:pt>
                <c:pt idx="48">
                  <c:v>0.40435001873275628</c:v>
                </c:pt>
                <c:pt idx="49">
                  <c:v>0.39296552032672105</c:v>
                </c:pt>
                <c:pt idx="50">
                  <c:v>0.38248249115730271</c:v>
                </c:pt>
                <c:pt idx="51">
                  <c:v>0.37295521944430199</c:v>
                </c:pt>
                <c:pt idx="52">
                  <c:v>0.36444342550180903</c:v>
                </c:pt>
                <c:pt idx="53">
                  <c:v>0.35701038438659616</c:v>
                </c:pt>
                <c:pt idx="54">
                  <c:v>0.35072032583550122</c:v>
                </c:pt>
                <c:pt idx="55">
                  <c:v>0.34563514588563055</c:v>
                </c:pt>
                <c:pt idx="56">
                  <c:v>0.3418106109584349</c:v>
                </c:pt>
                <c:pt idx="57">
                  <c:v>0.33929240345812695</c:v>
                </c:pt>
                <c:pt idx="58">
                  <c:v>0.33811250020263245</c:v>
                </c:pt>
                <c:pt idx="59">
                  <c:v>0.338286430509119</c:v>
                </c:pt>
                <c:pt idx="60">
                  <c:v>0.33981188271833912</c:v>
                </c:pt>
                <c:pt idx="61">
                  <c:v>0.34266891419570072</c:v>
                </c:pt>
                <c:pt idx="62">
                  <c:v>0.34682172567402503</c:v>
                </c:pt>
                <c:pt idx="63">
                  <c:v>0.35222167924512293</c:v>
                </c:pt>
                <c:pt idx="64">
                  <c:v>0.35881105733141261</c:v>
                </c:pt>
                <c:pt idx="65">
                  <c:v>0.36652701862755521</c:v>
                </c:pt>
                <c:pt idx="66">
                  <c:v>0.37530529036097326</c:v>
                </c:pt>
                <c:pt idx="67">
                  <c:v>0.3850832908028734</c:v>
                </c:pt>
                <c:pt idx="68">
                  <c:v>0.39580254227951206</c:v>
                </c:pt>
                <c:pt idx="69">
                  <c:v>0.40741037090581378</c:v>
                </c:pt>
                <c:pt idx="70">
                  <c:v>0.4198609773927805</c:v>
                </c:pt>
                <c:pt idx="71">
                  <c:v>0.43311600545744655</c:v>
                </c:pt>
                <c:pt idx="72">
                  <c:v>0.44714474236339019</c:v>
                </c:pt>
                <c:pt idx="73">
                  <c:v>0.46192407364822613</c:v>
                </c:pt>
                <c:pt idx="74">
                  <c:v>0.47743829241468089</c:v>
                </c:pt>
                <c:pt idx="75">
                  <c:v>0.49367884015633334</c:v>
                </c:pt>
                <c:pt idx="76">
                  <c:v>0.51064403504393729</c:v>
                </c:pt>
                <c:pt idx="77">
                  <c:v>0.52833882659497255</c:v>
                </c:pt>
                <c:pt idx="78">
                  <c:v>0.5467746029407724</c:v>
                </c:pt>
                <c:pt idx="79">
                  <c:v>0.56596906804247227</c:v>
                </c:pt>
                <c:pt idx="80">
                  <c:v>0.58594620049101398</c:v>
                </c:pt>
                <c:pt idx="81">
                  <c:v>0.60673630225684094</c:v>
                </c:pt>
                <c:pt idx="82">
                  <c:v>0.62837614433904054</c:v>
                </c:pt>
                <c:pt idx="83">
                  <c:v>0.65090921625160347</c:v>
                </c:pt>
                <c:pt idx="84">
                  <c:v>0.67438608736662098</c:v>
                </c:pt>
                <c:pt idx="85">
                  <c:v>0.69886489012533115</c:v>
                </c:pt>
                <c:pt idx="86">
                  <c:v>0.72441193794899672</c:v>
                </c:pt>
                <c:pt idx="87">
                  <c:v>0.75110249434626553</c:v>
                </c:pt>
                <c:pt idx="88">
                  <c:v>0.77902171432108902</c:v>
                </c:pt>
                <c:pt idx="89">
                  <c:v>0.80826578492093537</c:v>
                </c:pt>
                <c:pt idx="90">
                  <c:v>0.83894329891048702</c:v>
                </c:pt>
                <c:pt idx="91">
                  <c:v>0.87117690450876595</c:v>
                </c:pt>
                <c:pt idx="92">
                  <c:v>0.90510528543396007</c:v>
                </c:pt>
                <c:pt idx="93">
                  <c:v>0.94088553990479717</c:v>
                </c:pt>
                <c:pt idx="94">
                  <c:v>0.97869604576628522</c:v>
                </c:pt>
                <c:pt idx="95">
                  <c:v>1.0187399229354752</c:v>
                </c:pt>
                <c:pt idx="96">
                  <c:v>1.061249235828458</c:v>
                </c:pt>
                <c:pt idx="97">
                  <c:v>1.1064901200268036</c:v>
                </c:pt>
                <c:pt idx="98">
                  <c:v>1.1547690729709601</c:v>
                </c:pt>
                <c:pt idx="99">
                  <c:v>1.2064407233542569</c:v>
                </c:pt>
                <c:pt idx="100">
                  <c:v>1.2619174959693598</c:v>
                </c:pt>
                <c:pt idx="101">
                  <c:v>1.3216817294946714</c:v>
                </c:pt>
                <c:pt idx="102">
                  <c:v>1.3863010011122117</c:v>
                </c:pt>
                <c:pt idx="103">
                  <c:v>1.4564476895401792</c:v>
                </c:pt>
                <c:pt idx="104">
                  <c:v>1.5329242062511563</c:v>
                </c:pt>
                <c:pt idx="105">
                  <c:v>1.616695904392484</c:v>
                </c:pt>
                <c:pt idx="106">
                  <c:v>1.708934533139995</c:v>
                </c:pt>
                <c:pt idx="107">
                  <c:v>1.811076398918082</c:v>
                </c:pt>
                <c:pt idx="108">
                  <c:v>1.9249013843314584</c:v>
                </c:pt>
                <c:pt idx="109">
                  <c:v>2.0526421029127446</c:v>
                </c:pt>
                <c:pt idx="110">
                  <c:v>2.1971375050854074</c:v>
                </c:pt>
                <c:pt idx="111">
                  <c:v>2.3620535886751597</c:v>
                </c:pt>
                <c:pt idx="112">
                  <c:v>2.5522080975882111</c:v>
                </c:pt>
                <c:pt idx="113">
                  <c:v>2.7740612359371308</c:v>
                </c:pt>
                <c:pt idx="114">
                  <c:v>3.0364806477588107</c:v>
                </c:pt>
                <c:pt idx="115">
                  <c:v>3.3519778667388422</c:v>
                </c:pt>
                <c:pt idx="116">
                  <c:v>3.7387940437662177</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numCache>
            </c:numRef>
          </c:yVal>
          <c:smooth val="1"/>
          <c:extLst>
            <c:ext xmlns:c16="http://schemas.microsoft.com/office/drawing/2014/chart" uri="{C3380CC4-5D6E-409C-BE32-E72D297353CC}">
              <c16:uniqueId val="{00000003-61F0-7342-B978-2A30CEEF6918}"/>
            </c:ext>
          </c:extLst>
        </c:ser>
        <c:ser>
          <c:idx val="8"/>
          <c:order val="3"/>
          <c:tx>
            <c:v>6500A</c:v>
          </c:tx>
          <c:spPr>
            <a:ln w="12700">
              <a:solidFill>
                <a:srgbClr val="D7A211"/>
              </a:solidFill>
            </a:ln>
          </c:spPr>
          <c:marker>
            <c:symbol val="none"/>
          </c:marker>
          <c:xVal>
            <c:numRef>
              <c:f>AtmDisp!$P$6:$P$166</c:f>
              <c:numCache>
                <c:formatCode>0.00</c:formatCode>
                <c:ptCount val="161"/>
                <c:pt idx="0">
                  <c:v>-1</c:v>
                </c:pt>
                <c:pt idx="1">
                  <c:v>-0.9</c:v>
                </c:pt>
                <c:pt idx="2">
                  <c:v>-0.8</c:v>
                </c:pt>
                <c:pt idx="3">
                  <c:v>-0.70000000000000007</c:v>
                </c:pt>
                <c:pt idx="4">
                  <c:v>-0.60000000000000009</c:v>
                </c:pt>
                <c:pt idx="5">
                  <c:v>-0.50000000000000011</c:v>
                </c:pt>
                <c:pt idx="6">
                  <c:v>-0.40000000000000013</c:v>
                </c:pt>
                <c:pt idx="7">
                  <c:v>-0.30000000000000016</c:v>
                </c:pt>
                <c:pt idx="8">
                  <c:v>-0.20000000000000015</c:v>
                </c:pt>
                <c:pt idx="9">
                  <c:v>-0.10000000000000014</c:v>
                </c:pt>
                <c:pt idx="10">
                  <c:v>-1.3877787807814457E-16</c:v>
                </c:pt>
                <c:pt idx="11">
                  <c:v>9.9999999999999867E-2</c:v>
                </c:pt>
                <c:pt idx="12">
                  <c:v>0.19999999999999987</c:v>
                </c:pt>
                <c:pt idx="13">
                  <c:v>0.29999999999999988</c:v>
                </c:pt>
                <c:pt idx="14">
                  <c:v>0.39999999999999991</c:v>
                </c:pt>
                <c:pt idx="15">
                  <c:v>0.49999999999999989</c:v>
                </c:pt>
                <c:pt idx="16">
                  <c:v>0.59999999999999987</c:v>
                </c:pt>
                <c:pt idx="17">
                  <c:v>0.69999999999999984</c:v>
                </c:pt>
                <c:pt idx="18">
                  <c:v>0.79999999999999982</c:v>
                </c:pt>
                <c:pt idx="19">
                  <c:v>0.8999999999999998</c:v>
                </c:pt>
                <c:pt idx="20">
                  <c:v>0.99999999999999978</c:v>
                </c:pt>
                <c:pt idx="21">
                  <c:v>1.0999999999999999</c:v>
                </c:pt>
                <c:pt idx="22">
                  <c:v>1.2</c:v>
                </c:pt>
                <c:pt idx="23">
                  <c:v>1.3</c:v>
                </c:pt>
                <c:pt idx="24">
                  <c:v>1.4000000000000001</c:v>
                </c:pt>
                <c:pt idx="25">
                  <c:v>1.5000000000000002</c:v>
                </c:pt>
                <c:pt idx="26">
                  <c:v>1.6000000000000003</c:v>
                </c:pt>
                <c:pt idx="27">
                  <c:v>1.7000000000000004</c:v>
                </c:pt>
                <c:pt idx="28">
                  <c:v>1.8000000000000005</c:v>
                </c:pt>
                <c:pt idx="29">
                  <c:v>1.9000000000000006</c:v>
                </c:pt>
                <c:pt idx="30">
                  <c:v>2.0000000000000004</c:v>
                </c:pt>
                <c:pt idx="31">
                  <c:v>2.1000000000000005</c:v>
                </c:pt>
                <c:pt idx="32">
                  <c:v>2.2000000000000006</c:v>
                </c:pt>
                <c:pt idx="33">
                  <c:v>2.3000000000000007</c:v>
                </c:pt>
                <c:pt idx="34">
                  <c:v>2.4000000000000008</c:v>
                </c:pt>
                <c:pt idx="35">
                  <c:v>2.5000000000000009</c:v>
                </c:pt>
                <c:pt idx="36">
                  <c:v>2.600000000000001</c:v>
                </c:pt>
                <c:pt idx="37">
                  <c:v>2.7000000000000011</c:v>
                </c:pt>
                <c:pt idx="38">
                  <c:v>2.8000000000000012</c:v>
                </c:pt>
                <c:pt idx="39">
                  <c:v>2.9000000000000012</c:v>
                </c:pt>
                <c:pt idx="40">
                  <c:v>3.0000000000000013</c:v>
                </c:pt>
                <c:pt idx="41">
                  <c:v>3.1000000000000014</c:v>
                </c:pt>
                <c:pt idx="42">
                  <c:v>3.2000000000000015</c:v>
                </c:pt>
                <c:pt idx="43">
                  <c:v>3.3000000000000016</c:v>
                </c:pt>
                <c:pt idx="44">
                  <c:v>3.4000000000000017</c:v>
                </c:pt>
                <c:pt idx="45">
                  <c:v>3.5000000000000018</c:v>
                </c:pt>
                <c:pt idx="46">
                  <c:v>3.6000000000000019</c:v>
                </c:pt>
                <c:pt idx="47">
                  <c:v>3.700000000000002</c:v>
                </c:pt>
                <c:pt idx="48">
                  <c:v>3.800000000000002</c:v>
                </c:pt>
                <c:pt idx="49">
                  <c:v>3.9000000000000021</c:v>
                </c:pt>
                <c:pt idx="50">
                  <c:v>4.0000000000000018</c:v>
                </c:pt>
                <c:pt idx="51">
                  <c:v>4.1000000000000014</c:v>
                </c:pt>
                <c:pt idx="52">
                  <c:v>4.2000000000000011</c:v>
                </c:pt>
                <c:pt idx="53">
                  <c:v>4.3000000000000007</c:v>
                </c:pt>
                <c:pt idx="54">
                  <c:v>4.4000000000000004</c:v>
                </c:pt>
                <c:pt idx="55">
                  <c:v>4.5</c:v>
                </c:pt>
                <c:pt idx="56">
                  <c:v>4.5999999999999996</c:v>
                </c:pt>
                <c:pt idx="57">
                  <c:v>4.6999999999999993</c:v>
                </c:pt>
                <c:pt idx="58">
                  <c:v>4.7999999999999989</c:v>
                </c:pt>
                <c:pt idx="59">
                  <c:v>4.8999999999999986</c:v>
                </c:pt>
                <c:pt idx="60">
                  <c:v>4.9999999999999982</c:v>
                </c:pt>
                <c:pt idx="61">
                  <c:v>5.0999999999999979</c:v>
                </c:pt>
                <c:pt idx="62">
                  <c:v>5.1999999999999975</c:v>
                </c:pt>
                <c:pt idx="63">
                  <c:v>5.2999999999999972</c:v>
                </c:pt>
                <c:pt idx="64">
                  <c:v>5.3999999999999968</c:v>
                </c:pt>
                <c:pt idx="65">
                  <c:v>5.4999999999999964</c:v>
                </c:pt>
                <c:pt idx="66">
                  <c:v>5.5999999999999961</c:v>
                </c:pt>
                <c:pt idx="67">
                  <c:v>5.6999999999999957</c:v>
                </c:pt>
                <c:pt idx="68">
                  <c:v>5.7999999999999954</c:v>
                </c:pt>
                <c:pt idx="69">
                  <c:v>5.899999999999995</c:v>
                </c:pt>
                <c:pt idx="70">
                  <c:v>5.9999999999999947</c:v>
                </c:pt>
                <c:pt idx="71">
                  <c:v>6.0999999999999943</c:v>
                </c:pt>
                <c:pt idx="72">
                  <c:v>6.199999999999994</c:v>
                </c:pt>
                <c:pt idx="73">
                  <c:v>6.2999999999999936</c:v>
                </c:pt>
                <c:pt idx="74">
                  <c:v>6.3999999999999932</c:v>
                </c:pt>
                <c:pt idx="75">
                  <c:v>6.4999999999999929</c:v>
                </c:pt>
                <c:pt idx="76">
                  <c:v>6.5999999999999925</c:v>
                </c:pt>
                <c:pt idx="77">
                  <c:v>6.6999999999999922</c:v>
                </c:pt>
                <c:pt idx="78">
                  <c:v>6.7999999999999918</c:v>
                </c:pt>
                <c:pt idx="79">
                  <c:v>6.8999999999999915</c:v>
                </c:pt>
                <c:pt idx="80">
                  <c:v>6.9999999999999911</c:v>
                </c:pt>
                <c:pt idx="81">
                  <c:v>7.0999999999999908</c:v>
                </c:pt>
                <c:pt idx="82">
                  <c:v>7.1999999999999904</c:v>
                </c:pt>
                <c:pt idx="83">
                  <c:v>7.2999999999999901</c:v>
                </c:pt>
                <c:pt idx="84">
                  <c:v>7.3999999999999897</c:v>
                </c:pt>
                <c:pt idx="85">
                  <c:v>7.4999999999999893</c:v>
                </c:pt>
                <c:pt idx="86">
                  <c:v>7.599999999999989</c:v>
                </c:pt>
                <c:pt idx="87">
                  <c:v>7.6999999999999886</c:v>
                </c:pt>
                <c:pt idx="88">
                  <c:v>7.7999999999999883</c:v>
                </c:pt>
                <c:pt idx="89">
                  <c:v>7.8999999999999879</c:v>
                </c:pt>
                <c:pt idx="90">
                  <c:v>7.9999999999999876</c:v>
                </c:pt>
                <c:pt idx="91">
                  <c:v>8.0999999999999872</c:v>
                </c:pt>
                <c:pt idx="92">
                  <c:v>8.1999999999999869</c:v>
                </c:pt>
                <c:pt idx="93">
                  <c:v>8.2999999999999865</c:v>
                </c:pt>
                <c:pt idx="94">
                  <c:v>8.3999999999999861</c:v>
                </c:pt>
                <c:pt idx="95">
                  <c:v>8.4999999999999858</c:v>
                </c:pt>
                <c:pt idx="96">
                  <c:v>8.5999999999999854</c:v>
                </c:pt>
                <c:pt idx="97">
                  <c:v>8.6999999999999851</c:v>
                </c:pt>
                <c:pt idx="98">
                  <c:v>8.7999999999999847</c:v>
                </c:pt>
                <c:pt idx="99">
                  <c:v>8.8999999999999844</c:v>
                </c:pt>
                <c:pt idx="100">
                  <c:v>8.999999999999984</c:v>
                </c:pt>
                <c:pt idx="101">
                  <c:v>9.0999999999999837</c:v>
                </c:pt>
                <c:pt idx="102">
                  <c:v>9.1999999999999833</c:v>
                </c:pt>
                <c:pt idx="103">
                  <c:v>9.2999999999999829</c:v>
                </c:pt>
                <c:pt idx="104">
                  <c:v>9.3999999999999826</c:v>
                </c:pt>
                <c:pt idx="105">
                  <c:v>9.4999999999999822</c:v>
                </c:pt>
                <c:pt idx="106">
                  <c:v>9.5999999999999819</c:v>
                </c:pt>
                <c:pt idx="107">
                  <c:v>9.6999999999999815</c:v>
                </c:pt>
                <c:pt idx="108">
                  <c:v>9.7999999999999812</c:v>
                </c:pt>
                <c:pt idx="109">
                  <c:v>9.8999999999999808</c:v>
                </c:pt>
                <c:pt idx="110">
                  <c:v>9.9999999999999805</c:v>
                </c:pt>
                <c:pt idx="111">
                  <c:v>10.09999999999998</c:v>
                </c:pt>
                <c:pt idx="112">
                  <c:v>10.19999999999998</c:v>
                </c:pt>
                <c:pt idx="113">
                  <c:v>10.299999999999979</c:v>
                </c:pt>
                <c:pt idx="114">
                  <c:v>10.399999999999979</c:v>
                </c:pt>
                <c:pt idx="115">
                  <c:v>10.499999999999979</c:v>
                </c:pt>
                <c:pt idx="116">
                  <c:v>10.599999999999978</c:v>
                </c:pt>
                <c:pt idx="117">
                  <c:v>10.699999999999978</c:v>
                </c:pt>
                <c:pt idx="118">
                  <c:v>10.799999999999978</c:v>
                </c:pt>
                <c:pt idx="119">
                  <c:v>10.899999999999977</c:v>
                </c:pt>
                <c:pt idx="120">
                  <c:v>10.999999999999977</c:v>
                </c:pt>
                <c:pt idx="121">
                  <c:v>11.099999999999977</c:v>
                </c:pt>
                <c:pt idx="122">
                  <c:v>11.199999999999976</c:v>
                </c:pt>
                <c:pt idx="123">
                  <c:v>11.299999999999976</c:v>
                </c:pt>
                <c:pt idx="124">
                  <c:v>11.399999999999975</c:v>
                </c:pt>
                <c:pt idx="125">
                  <c:v>11.499999999999975</c:v>
                </c:pt>
                <c:pt idx="126">
                  <c:v>11.599999999999975</c:v>
                </c:pt>
                <c:pt idx="127">
                  <c:v>11.699999999999974</c:v>
                </c:pt>
                <c:pt idx="128">
                  <c:v>11.799999999999974</c:v>
                </c:pt>
                <c:pt idx="129">
                  <c:v>11.899999999999974</c:v>
                </c:pt>
                <c:pt idx="130">
                  <c:v>11.999999999999973</c:v>
                </c:pt>
                <c:pt idx="131">
                  <c:v>12.099999999999973</c:v>
                </c:pt>
                <c:pt idx="132">
                  <c:v>12.199999999999973</c:v>
                </c:pt>
                <c:pt idx="133">
                  <c:v>12.299999999999972</c:v>
                </c:pt>
                <c:pt idx="134">
                  <c:v>12.399999999999972</c:v>
                </c:pt>
                <c:pt idx="135">
                  <c:v>12.499999999999972</c:v>
                </c:pt>
                <c:pt idx="136">
                  <c:v>12.599999999999971</c:v>
                </c:pt>
                <c:pt idx="137">
                  <c:v>12.699999999999971</c:v>
                </c:pt>
                <c:pt idx="138">
                  <c:v>12.799999999999971</c:v>
                </c:pt>
                <c:pt idx="139">
                  <c:v>12.89999999999997</c:v>
                </c:pt>
                <c:pt idx="140">
                  <c:v>12.99999999999997</c:v>
                </c:pt>
                <c:pt idx="141">
                  <c:v>13.099999999999969</c:v>
                </c:pt>
                <c:pt idx="142">
                  <c:v>13.199999999999969</c:v>
                </c:pt>
                <c:pt idx="143">
                  <c:v>13.299999999999969</c:v>
                </c:pt>
                <c:pt idx="144">
                  <c:v>13.399999999999968</c:v>
                </c:pt>
                <c:pt idx="145">
                  <c:v>13.499999999999968</c:v>
                </c:pt>
                <c:pt idx="146">
                  <c:v>13.599999999999968</c:v>
                </c:pt>
                <c:pt idx="147">
                  <c:v>13.699999999999967</c:v>
                </c:pt>
                <c:pt idx="148">
                  <c:v>13.799999999999967</c:v>
                </c:pt>
                <c:pt idx="149">
                  <c:v>13.899999999999967</c:v>
                </c:pt>
                <c:pt idx="150">
                  <c:v>13.999999999999966</c:v>
                </c:pt>
                <c:pt idx="151">
                  <c:v>14.099999999999966</c:v>
                </c:pt>
                <c:pt idx="152">
                  <c:v>14.199999999999966</c:v>
                </c:pt>
                <c:pt idx="153">
                  <c:v>14.299999999999965</c:v>
                </c:pt>
                <c:pt idx="154">
                  <c:v>14.399999999999965</c:v>
                </c:pt>
                <c:pt idx="155">
                  <c:v>14.499999999999964</c:v>
                </c:pt>
                <c:pt idx="156">
                  <c:v>14.599999999999964</c:v>
                </c:pt>
                <c:pt idx="157">
                  <c:v>14.699999999999964</c:v>
                </c:pt>
                <c:pt idx="158">
                  <c:v>14.799999999999963</c:v>
                </c:pt>
                <c:pt idx="159">
                  <c:v>14.899999999999963</c:v>
                </c:pt>
                <c:pt idx="160">
                  <c:v>14.999999999999963</c:v>
                </c:pt>
              </c:numCache>
            </c:numRef>
          </c:xVal>
          <c:yVal>
            <c:numRef>
              <c:f>AtmDisp!$Z$6:$Z$166</c:f>
              <c:numCache>
                <c:formatCode>General</c:formatCode>
                <c:ptCount val="161"/>
                <c:pt idx="0">
                  <c:v>#N/A</c:v>
                </c:pt>
                <c:pt idx="1">
                  <c:v>2.58158741095323</c:v>
                </c:pt>
                <c:pt idx="2">
                  <c:v>2.3210096313616835</c:v>
                </c:pt>
                <c:pt idx="3">
                  <c:v>2.1073250139513173</c:v>
                </c:pt>
                <c:pt idx="4">
                  <c:v>1.9287959463291382</c:v>
                </c:pt>
                <c:pt idx="5">
                  <c:v>1.7772988554911198</c:v>
                </c:pt>
                <c:pt idx="6">
                  <c:v>1.6470327293135842</c:v>
                </c:pt>
                <c:pt idx="7">
                  <c:v>1.5337445097390086</c:v>
                </c:pt>
                <c:pt idx="8">
                  <c:v>1.4342451123641458</c:v>
                </c:pt>
                <c:pt idx="9">
                  <c:v>1.3460963460713427</c:v>
                </c:pt>
                <c:pt idx="10">
                  <c:v>1.2674022419419599</c:v>
                </c:pt>
                <c:pt idx="11">
                  <c:v>1.1966663087230081</c:v>
                </c:pt>
                <c:pt idx="12">
                  <c:v>1.1326916314562125</c:v>
                </c:pt>
                <c:pt idx="13">
                  <c:v>1.0745095269703147</c:v>
                </c:pt>
                <c:pt idx="14">
                  <c:v>1.0213276669049407</c:v>
                </c:pt>
                <c:pt idx="15">
                  <c:v>0.97249174159930996</c:v>
                </c:pt>
                <c:pt idx="16">
                  <c:v>0.92745671445352562</c:v>
                </c:pt>
                <c:pt idx="17">
                  <c:v>0.88576498096499823</c:v>
                </c:pt>
                <c:pt idx="18">
                  <c:v>0.84702957336702944</c:v>
                </c:pt>
                <c:pt idx="19">
                  <c:v>0.81092110287528596</c:v>
                </c:pt>
                <c:pt idx="20">
                  <c:v>0.77715750545611828</c:v>
                </c:pt>
                <c:pt idx="21">
                  <c:v>0.7454959148810848</c:v>
                </c:pt>
                <c:pt idx="22">
                  <c:v>0.71572616732371919</c:v>
                </c:pt>
                <c:pt idx="23">
                  <c:v>0.68766556985152549</c:v>
                </c:pt>
                <c:pt idx="24">
                  <c:v>0.6611546572495105</c:v>
                </c:pt>
                <c:pt idx="25">
                  <c:v>0.63605372860115039</c:v>
                </c:pt>
                <c:pt idx="26">
                  <c:v>0.61224000433539405</c:v>
                </c:pt>
                <c:pt idx="27">
                  <c:v>0.58960528108951249</c:v>
                </c:pt>
                <c:pt idx="28">
                  <c:v>0.56805398925521478</c:v>
                </c:pt>
                <c:pt idx="29">
                  <c:v>0.54750157894189855</c:v>
                </c:pt>
                <c:pt idx="30">
                  <c:v>0.52787317606311801</c:v>
                </c:pt>
                <c:pt idx="31">
                  <c:v>0.50910246259171532</c:v>
                </c:pt>
                <c:pt idx="32">
                  <c:v>0.49113074464941842</c:v>
                </c:pt>
                <c:pt idx="33">
                  <c:v>0.47390617966521353</c:v>
                </c:pt>
                <c:pt idx="34">
                  <c:v>0.45738313984269263</c:v>
                </c:pt>
                <c:pt idx="35">
                  <c:v>0.44152169397847851</c:v>
                </c:pt>
                <c:pt idx="36">
                  <c:v>0.42628719353149597</c:v>
                </c:pt>
                <c:pt idx="37">
                  <c:v>0.41164995193798259</c:v>
                </c:pt>
                <c:pt idx="38">
                  <c:v>0.39758500861550872</c:v>
                </c:pt>
                <c:pt idx="39">
                  <c:v>0.38407197095599827</c:v>
                </c:pt>
                <c:pt idx="40">
                  <c:v>0.37109492886629397</c:v>
                </c:pt>
                <c:pt idx="41">
                  <c:v>0.35864243700070508</c:v>
                </c:pt>
                <c:pt idx="42">
                  <c:v>0.34670755959001037</c:v>
                </c:pt>
                <c:pt idx="43">
                  <c:v>0.33528797146066425</c:v>
                </c:pt>
                <c:pt idx="44">
                  <c:v>0.32438610610982638</c:v>
                </c:pt>
                <c:pt idx="45">
                  <c:v>0.31400933711113332</c:v>
                </c:pt>
                <c:pt idx="46">
                  <c:v>0.30417017216439729</c:v>
                </c:pt>
                <c:pt idx="47">
                  <c:v>0.29488642929679898</c:v>
                </c:pt>
                <c:pt idx="48">
                  <c:v>0.28618135184397031</c:v>
                </c:pt>
                <c:pt idx="49">
                  <c:v>0.27808360327001036</c:v>
                </c:pt>
                <c:pt idx="50">
                  <c:v>0.27062706618951538</c:v>
                </c:pt>
                <c:pt idx="51">
                  <c:v>0.26385035559796388</c:v>
                </c:pt>
                <c:pt idx="52">
                  <c:v>0.25779595031796282</c:v>
                </c:pt>
                <c:pt idx="53">
                  <c:v>0.25250885764649372</c:v>
                </c:pt>
                <c:pt idx="54">
                  <c:v>0.24803476394068308</c:v>
                </c:pt>
                <c:pt idx="55">
                  <c:v>0.24441769560629206</c:v>
                </c:pt>
                <c:pt idx="56">
                  <c:v>0.24169731907777153</c:v>
                </c:pt>
                <c:pt idx="57">
                  <c:v>0.23990612806809614</c:v>
                </c:pt>
                <c:pt idx="58">
                  <c:v>0.23906686756106088</c:v>
                </c:pt>
                <c:pt idx="59">
                  <c:v>0.23919058349838956</c:v>
                </c:pt>
                <c:pt idx="60">
                  <c:v>0.24027563160602583</c:v>
                </c:pt>
                <c:pt idx="61">
                  <c:v>0.24230782676706153</c:v>
                </c:pt>
                <c:pt idx="62">
                  <c:v>0.24526170510470507</c:v>
                </c:pt>
                <c:pt idx="63">
                  <c:v>0.24910267066772246</c:v>
                </c:pt>
                <c:pt idx="64">
                  <c:v>0.25378966917204371</c:v>
                </c:pt>
                <c:pt idx="65">
                  <c:v>0.25927800184636213</c:v>
                </c:pt>
                <c:pt idx="66">
                  <c:v>0.26552195172240017</c:v>
                </c:pt>
                <c:pt idx="67">
                  <c:v>0.27247700466461861</c:v>
                </c:pt>
                <c:pt idx="68">
                  <c:v>0.28010156573556155</c:v>
                </c:pt>
                <c:pt idx="69">
                  <c:v>0.28835816820963944</c:v>
                </c:pt>
                <c:pt idx="70">
                  <c:v>0.29721423523419294</c:v>
                </c:pt>
                <c:pt idx="71">
                  <c:v>0.30664248413724055</c:v>
                </c:pt>
                <c:pt idx="72">
                  <c:v>0.31662106907114868</c:v>
                </c:pt>
                <c:pt idx="73">
                  <c:v>0.32713354881047702</c:v>
                </c:pt>
                <c:pt idx="74">
                  <c:v>0.33816875110147659</c:v>
                </c:pt>
                <c:pt idx="75">
                  <c:v>0.34972058831246666</c:v>
                </c:pt>
                <c:pt idx="76">
                  <c:v>0.36178786416497305</c:v>
                </c:pt>
                <c:pt idx="77">
                  <c:v>0.37437409923115339</c:v>
                </c:pt>
                <c:pt idx="78">
                  <c:v>0.38748739384366809</c:v>
                </c:pt>
                <c:pt idx="79">
                  <c:v>0.40114034075987259</c:v>
                </c:pt>
                <c:pt idx="80">
                  <c:v>0.41534999585642296</c:v>
                </c:pt>
                <c:pt idx="81">
                  <c:v>0.4301379128047409</c:v>
                </c:pt>
                <c:pt idx="82">
                  <c:v>0.44553024667067154</c:v>
                </c:pt>
                <c:pt idx="83">
                  <c:v>0.46155793137307016</c:v>
                </c:pt>
                <c:pt idx="84">
                  <c:v>0.47825693670578573</c:v>
                </c:pt>
                <c:pt idx="85">
                  <c:v>0.49566861204376178</c:v>
                </c:pt>
                <c:pt idx="86">
                  <c:v>0.51384012586059402</c:v>
                </c:pt>
                <c:pt idx="87">
                  <c:v>0.53282501279154582</c:v>
                </c:pt>
                <c:pt idx="88">
                  <c:v>0.55268384325326814</c:v>
                </c:pt>
                <c:pt idx="89">
                  <c:v>0.57348503471122014</c:v>
                </c:pt>
                <c:pt idx="90">
                  <c:v>0.5953058287683245</c:v>
                </c:pt>
                <c:pt idx="91">
                  <c:v>0.61823346461644202</c:v>
                </c:pt>
                <c:pt idx="92">
                  <c:v>0.64236658743440567</c:v>
                </c:pt>
                <c:pt idx="93">
                  <c:v>0.6678169405622647</c:v>
                </c:pt>
                <c:pt idx="94">
                  <c:v>0.69471140345386251</c:v>
                </c:pt>
                <c:pt idx="95">
                  <c:v>0.72319445450077835</c:v>
                </c:pt>
                <c:pt idx="96">
                  <c:v>0.75343116020198719</c:v>
                </c:pt>
                <c:pt idx="97">
                  <c:v>0.78561082174136843</c:v>
                </c:pt>
                <c:pt idx="98">
                  <c:v>0.81995144953297749</c:v>
                </c:pt>
                <c:pt idx="99">
                  <c:v>0.85670528956019198</c:v>
                </c:pt>
                <c:pt idx="100">
                  <c:v>0.89616569794267253</c:v>
                </c:pt>
                <c:pt idx="101">
                  <c:v>0.93867576026977884</c:v>
                </c:pt>
                <c:pt idx="102">
                  <c:v>0.98463919194050276</c:v>
                </c:pt>
                <c:pt idx="103">
                  <c:v>1.0345342532709569</c:v>
                </c:pt>
                <c:pt idx="104">
                  <c:v>1.0889316963598361</c:v>
                </c:pt>
                <c:pt idx="105">
                  <c:v>1.1485181730729885</c:v>
                </c:pt>
                <c:pt idx="106">
                  <c:v>1.2141271439529187</c:v>
                </c:pt>
                <c:pt idx="107">
                  <c:v>1.2867802480639994</c:v>
                </c:pt>
                <c:pt idx="108">
                  <c:v>1.3677435088453038</c:v>
                </c:pt>
                <c:pt idx="109">
                  <c:v>1.4586049754497401</c:v>
                </c:pt>
                <c:pt idx="110">
                  <c:v>1.5613839820564035</c:v>
                </c:pt>
                <c:pt idx="111">
                  <c:v>1.6786881383821679</c:v>
                </c:pt>
                <c:pt idx="112">
                  <c:v>1.8139442865640159</c:v>
                </c:pt>
                <c:pt idx="113">
                  <c:v>1.9717475441709669</c:v>
                </c:pt>
                <c:pt idx="114">
                  <c:v>2.1584054312441365</c:v>
                </c:pt>
                <c:pt idx="115">
                  <c:v>2.3828173520828706</c:v>
                </c:pt>
                <c:pt idx="116">
                  <c:v>2.657958164983993</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numCache>
            </c:numRef>
          </c:yVal>
          <c:smooth val="1"/>
          <c:extLst>
            <c:ext xmlns:c16="http://schemas.microsoft.com/office/drawing/2014/chart" uri="{C3380CC4-5D6E-409C-BE32-E72D297353CC}">
              <c16:uniqueId val="{00000004-61F0-7342-B978-2A30CEEF6918}"/>
            </c:ext>
          </c:extLst>
        </c:ser>
        <c:ser>
          <c:idx val="9"/>
          <c:order val="4"/>
          <c:tx>
            <c:v>7500 A</c:v>
          </c:tx>
          <c:spPr>
            <a:ln w="12700">
              <a:solidFill>
                <a:srgbClr val="FF0000"/>
              </a:solidFill>
            </a:ln>
          </c:spPr>
          <c:marker>
            <c:symbol val="none"/>
          </c:marker>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61F0-7342-B978-2A30CEEF6918}"/>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61F0-7342-B978-2A30CEEF6918}"/>
                </c:ext>
              </c:extLst>
            </c:dLbl>
            <c:dLbl>
              <c:idx val="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61F0-7342-B978-2A30CEEF6918}"/>
                </c:ext>
              </c:extLst>
            </c:dLbl>
            <c:dLbl>
              <c:idx val="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61F0-7342-B978-2A30CEEF6918}"/>
                </c:ext>
              </c:extLst>
            </c:dLbl>
            <c:dLbl>
              <c:idx val="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61F0-7342-B978-2A30CEEF6918}"/>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61F0-7342-B978-2A30CEEF6918}"/>
                </c:ext>
              </c:extLst>
            </c:dLbl>
            <c:dLbl>
              <c:idx val="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61F0-7342-B978-2A30CEEF6918}"/>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5-61F0-7342-B978-2A30CEEF6918}"/>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6-61F0-7342-B978-2A30CEEF6918}"/>
                </c:ext>
              </c:extLst>
            </c:dLbl>
            <c:dLbl>
              <c:idx val="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61F0-7342-B978-2A30CEEF6918}"/>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8-61F0-7342-B978-2A30CEEF6918}"/>
                </c:ext>
              </c:extLst>
            </c:dLbl>
            <c:dLbl>
              <c:idx val="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9-61F0-7342-B978-2A30CEEF6918}"/>
                </c:ext>
              </c:extLst>
            </c:dLbl>
            <c:dLbl>
              <c:idx val="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A-61F0-7342-B978-2A30CEEF6918}"/>
                </c:ext>
              </c:extLst>
            </c:dLbl>
            <c:dLbl>
              <c:idx val="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B-61F0-7342-B978-2A30CEEF6918}"/>
                </c:ext>
              </c:extLst>
            </c:dLbl>
            <c:dLbl>
              <c:idx val="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C-61F0-7342-B978-2A30CEEF6918}"/>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61F0-7342-B978-2A30CEEF6918}"/>
                </c:ext>
              </c:extLst>
            </c:dLbl>
            <c:dLbl>
              <c:idx val="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E-61F0-7342-B978-2A30CEEF6918}"/>
                </c:ext>
              </c:extLst>
            </c:dLbl>
            <c:dLbl>
              <c:idx val="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F-61F0-7342-B978-2A30CEEF6918}"/>
                </c:ext>
              </c:extLst>
            </c:dLbl>
            <c:dLbl>
              <c:idx val="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0-61F0-7342-B978-2A30CEEF6918}"/>
                </c:ext>
              </c:extLst>
            </c:dLbl>
            <c:dLbl>
              <c:idx val="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1-61F0-7342-B978-2A30CEEF6918}"/>
                </c:ext>
              </c:extLst>
            </c:dLbl>
            <c:dLbl>
              <c:idx val="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2-61F0-7342-B978-2A30CEEF6918}"/>
                </c:ext>
              </c:extLst>
            </c:dLbl>
            <c:dLbl>
              <c:idx val="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3-61F0-7342-B978-2A30CEEF6918}"/>
                </c:ext>
              </c:extLst>
            </c:dLbl>
            <c:dLbl>
              <c:idx val="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4-61F0-7342-B978-2A30CEEF6918}"/>
                </c:ext>
              </c:extLst>
            </c:dLbl>
            <c:dLbl>
              <c:idx val="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5-61F0-7342-B978-2A30CEEF6918}"/>
                </c:ext>
              </c:extLst>
            </c:dLbl>
            <c:dLbl>
              <c:idx val="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6-61F0-7342-B978-2A30CEEF6918}"/>
                </c:ext>
              </c:extLst>
            </c:dLbl>
            <c:dLbl>
              <c:idx val="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61F0-7342-B978-2A30CEEF6918}"/>
                </c:ext>
              </c:extLst>
            </c:dLbl>
            <c:dLbl>
              <c:idx val="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8-61F0-7342-B978-2A30CEEF6918}"/>
                </c:ext>
              </c:extLst>
            </c:dLbl>
            <c:dLbl>
              <c:idx val="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61F0-7342-B978-2A30CEEF6918}"/>
                </c:ext>
              </c:extLst>
            </c:dLbl>
            <c:dLbl>
              <c:idx val="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61F0-7342-B978-2A30CEEF6918}"/>
                </c:ext>
              </c:extLst>
            </c:dLbl>
            <c:dLbl>
              <c:idx val="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61F0-7342-B978-2A30CEEF6918}"/>
                </c:ext>
              </c:extLst>
            </c:dLbl>
            <c:dLbl>
              <c:idx val="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61F0-7342-B978-2A30CEEF6918}"/>
                </c:ext>
              </c:extLst>
            </c:dLbl>
            <c:dLbl>
              <c:idx val="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D-61F0-7342-B978-2A30CEEF6918}"/>
                </c:ext>
              </c:extLst>
            </c:dLbl>
            <c:dLbl>
              <c:idx val="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E-61F0-7342-B978-2A30CEEF6918}"/>
                </c:ext>
              </c:extLst>
            </c:dLbl>
            <c:dLbl>
              <c:idx val="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F-61F0-7342-B978-2A30CEEF6918}"/>
                </c:ext>
              </c:extLst>
            </c:dLbl>
            <c:dLbl>
              <c:idx val="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0-61F0-7342-B978-2A30CEEF6918}"/>
                </c:ext>
              </c:extLst>
            </c:dLbl>
            <c:dLbl>
              <c:idx val="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1-61F0-7342-B978-2A30CEEF6918}"/>
                </c:ext>
              </c:extLst>
            </c:dLbl>
            <c:dLbl>
              <c:idx val="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2-61F0-7342-B978-2A30CEEF6918}"/>
                </c:ext>
              </c:extLst>
            </c:dLbl>
            <c:dLbl>
              <c:idx val="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3-61F0-7342-B978-2A30CEEF6918}"/>
                </c:ext>
              </c:extLst>
            </c:dLbl>
            <c:dLbl>
              <c:idx val="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4-61F0-7342-B978-2A30CEEF6918}"/>
                </c:ext>
              </c:extLst>
            </c:dLbl>
            <c:dLbl>
              <c:idx val="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5-61F0-7342-B978-2A30CEEF6918}"/>
                </c:ext>
              </c:extLst>
            </c:dLbl>
            <c:dLbl>
              <c:idx val="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6-61F0-7342-B978-2A30CEEF6918}"/>
                </c:ext>
              </c:extLst>
            </c:dLbl>
            <c:dLbl>
              <c:idx val="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7-61F0-7342-B978-2A30CEEF6918}"/>
                </c:ext>
              </c:extLst>
            </c:dLbl>
            <c:dLbl>
              <c:idx val="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8-61F0-7342-B978-2A30CEEF6918}"/>
                </c:ext>
              </c:extLst>
            </c:dLbl>
            <c:dLbl>
              <c:idx val="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9-61F0-7342-B978-2A30CEEF6918}"/>
                </c:ext>
              </c:extLst>
            </c:dLbl>
            <c:dLbl>
              <c:idx val="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A-61F0-7342-B978-2A30CEEF6918}"/>
                </c:ext>
              </c:extLst>
            </c:dLbl>
            <c:dLbl>
              <c:idx val="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B-61F0-7342-B978-2A30CEEF6918}"/>
                </c:ext>
              </c:extLst>
            </c:dLbl>
            <c:dLbl>
              <c:idx val="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C-61F0-7342-B978-2A30CEEF6918}"/>
                </c:ext>
              </c:extLst>
            </c:dLbl>
            <c:dLbl>
              <c:idx val="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D-61F0-7342-B978-2A30CEEF6918}"/>
                </c:ext>
              </c:extLst>
            </c:dLbl>
            <c:dLbl>
              <c:idx val="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E-61F0-7342-B978-2A30CEEF6918}"/>
                </c:ext>
              </c:extLst>
            </c:dLbl>
            <c:dLbl>
              <c:idx val="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F-61F0-7342-B978-2A30CEEF6918}"/>
                </c:ext>
              </c:extLst>
            </c:dLbl>
            <c:dLbl>
              <c:idx val="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0-61F0-7342-B978-2A30CEEF6918}"/>
                </c:ext>
              </c:extLst>
            </c:dLbl>
            <c:dLbl>
              <c:idx val="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1-61F0-7342-B978-2A30CEEF6918}"/>
                </c:ext>
              </c:extLst>
            </c:dLbl>
            <c:dLbl>
              <c:idx val="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2-61F0-7342-B978-2A30CEEF6918}"/>
                </c:ext>
              </c:extLst>
            </c:dLbl>
            <c:dLbl>
              <c:idx val="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3-61F0-7342-B978-2A30CEEF6918}"/>
                </c:ext>
              </c:extLst>
            </c:dLbl>
            <c:dLbl>
              <c:idx val="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4-61F0-7342-B978-2A30CEEF6918}"/>
                </c:ext>
              </c:extLst>
            </c:dLbl>
            <c:dLbl>
              <c:idx val="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5-61F0-7342-B978-2A30CEEF6918}"/>
                </c:ext>
              </c:extLst>
            </c:dLbl>
            <c:dLbl>
              <c:idx val="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6-61F0-7342-B978-2A30CEEF6918}"/>
                </c:ext>
              </c:extLst>
            </c:dLbl>
            <c:dLbl>
              <c:idx val="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7-61F0-7342-B978-2A30CEEF6918}"/>
                </c:ext>
              </c:extLst>
            </c:dLbl>
            <c:dLbl>
              <c:idx val="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8-61F0-7342-B978-2A30CEEF6918}"/>
                </c:ext>
              </c:extLst>
            </c:dLbl>
            <c:dLbl>
              <c:idx val="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9-61F0-7342-B978-2A30CEEF6918}"/>
                </c:ext>
              </c:extLst>
            </c:dLbl>
            <c:dLbl>
              <c:idx val="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A-61F0-7342-B978-2A30CEEF6918}"/>
                </c:ext>
              </c:extLst>
            </c:dLbl>
            <c:dLbl>
              <c:idx val="6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B-61F0-7342-B978-2A30CEEF6918}"/>
                </c:ext>
              </c:extLst>
            </c:dLbl>
            <c:dLbl>
              <c:idx val="6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C-61F0-7342-B978-2A30CEEF6918}"/>
                </c:ext>
              </c:extLst>
            </c:dLbl>
            <c:dLbl>
              <c:idx val="6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D-61F0-7342-B978-2A30CEEF6918}"/>
                </c:ext>
              </c:extLst>
            </c:dLbl>
            <c:dLbl>
              <c:idx val="6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E-61F0-7342-B978-2A30CEEF6918}"/>
                </c:ext>
              </c:extLst>
            </c:dLbl>
            <c:dLbl>
              <c:idx val="6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F-61F0-7342-B978-2A30CEEF6918}"/>
                </c:ext>
              </c:extLst>
            </c:dLbl>
            <c:dLbl>
              <c:idx val="6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0-61F0-7342-B978-2A30CEEF6918}"/>
                </c:ext>
              </c:extLst>
            </c:dLbl>
            <c:dLbl>
              <c:idx val="6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1-61F0-7342-B978-2A30CEEF6918}"/>
                </c:ext>
              </c:extLst>
            </c:dLbl>
            <c:dLbl>
              <c:idx val="6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2-61F0-7342-B978-2A30CEEF6918}"/>
                </c:ext>
              </c:extLst>
            </c:dLbl>
            <c:dLbl>
              <c:idx val="6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3-61F0-7342-B978-2A30CEEF6918}"/>
                </c:ext>
              </c:extLst>
            </c:dLbl>
            <c:dLbl>
              <c:idx val="7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4-61F0-7342-B978-2A30CEEF6918}"/>
                </c:ext>
              </c:extLst>
            </c:dLbl>
            <c:dLbl>
              <c:idx val="7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5-61F0-7342-B978-2A30CEEF6918}"/>
                </c:ext>
              </c:extLst>
            </c:dLbl>
            <c:dLbl>
              <c:idx val="7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6-61F0-7342-B978-2A30CEEF6918}"/>
                </c:ext>
              </c:extLst>
            </c:dLbl>
            <c:dLbl>
              <c:idx val="7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7-61F0-7342-B978-2A30CEEF6918}"/>
                </c:ext>
              </c:extLst>
            </c:dLbl>
            <c:dLbl>
              <c:idx val="7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8-61F0-7342-B978-2A30CEEF6918}"/>
                </c:ext>
              </c:extLst>
            </c:dLbl>
            <c:dLbl>
              <c:idx val="7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9-61F0-7342-B978-2A30CEEF6918}"/>
                </c:ext>
              </c:extLst>
            </c:dLbl>
            <c:dLbl>
              <c:idx val="7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A-61F0-7342-B978-2A30CEEF6918}"/>
                </c:ext>
              </c:extLst>
            </c:dLbl>
            <c:dLbl>
              <c:idx val="7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B-61F0-7342-B978-2A30CEEF6918}"/>
                </c:ext>
              </c:extLst>
            </c:dLbl>
            <c:dLbl>
              <c:idx val="7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C-61F0-7342-B978-2A30CEEF6918}"/>
                </c:ext>
              </c:extLst>
            </c:dLbl>
            <c:dLbl>
              <c:idx val="7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D-61F0-7342-B978-2A30CEEF6918}"/>
                </c:ext>
              </c:extLst>
            </c:dLbl>
            <c:dLbl>
              <c:idx val="8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E-61F0-7342-B978-2A30CEEF6918}"/>
                </c:ext>
              </c:extLst>
            </c:dLbl>
            <c:dLbl>
              <c:idx val="8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6F-61F0-7342-B978-2A30CEEF6918}"/>
                </c:ext>
              </c:extLst>
            </c:dLbl>
            <c:dLbl>
              <c:idx val="8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0-61F0-7342-B978-2A30CEEF6918}"/>
                </c:ext>
              </c:extLst>
            </c:dLbl>
            <c:dLbl>
              <c:idx val="8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1-61F0-7342-B978-2A30CEEF6918}"/>
                </c:ext>
              </c:extLst>
            </c:dLbl>
            <c:dLbl>
              <c:idx val="8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2-61F0-7342-B978-2A30CEEF6918}"/>
                </c:ext>
              </c:extLst>
            </c:dLbl>
            <c:dLbl>
              <c:idx val="8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3-61F0-7342-B978-2A30CEEF6918}"/>
                </c:ext>
              </c:extLst>
            </c:dLbl>
            <c:dLbl>
              <c:idx val="8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4-61F0-7342-B978-2A30CEEF6918}"/>
                </c:ext>
              </c:extLst>
            </c:dLbl>
            <c:dLbl>
              <c:idx val="8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5-61F0-7342-B978-2A30CEEF6918}"/>
                </c:ext>
              </c:extLst>
            </c:dLbl>
            <c:dLbl>
              <c:idx val="8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6-61F0-7342-B978-2A30CEEF6918}"/>
                </c:ext>
              </c:extLst>
            </c:dLbl>
            <c:dLbl>
              <c:idx val="8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7-61F0-7342-B978-2A30CEEF6918}"/>
                </c:ext>
              </c:extLst>
            </c:dLbl>
            <c:dLbl>
              <c:idx val="9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8-61F0-7342-B978-2A30CEEF6918}"/>
                </c:ext>
              </c:extLst>
            </c:dLbl>
            <c:dLbl>
              <c:idx val="9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9-61F0-7342-B978-2A30CEEF6918}"/>
                </c:ext>
              </c:extLst>
            </c:dLbl>
            <c:dLbl>
              <c:idx val="9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A-61F0-7342-B978-2A30CEEF6918}"/>
                </c:ext>
              </c:extLst>
            </c:dLbl>
            <c:dLbl>
              <c:idx val="9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B-61F0-7342-B978-2A30CEEF6918}"/>
                </c:ext>
              </c:extLst>
            </c:dLbl>
            <c:dLbl>
              <c:idx val="9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C-61F0-7342-B978-2A30CEEF6918}"/>
                </c:ext>
              </c:extLst>
            </c:dLbl>
            <c:dLbl>
              <c:idx val="9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D-61F0-7342-B978-2A30CEEF6918}"/>
                </c:ext>
              </c:extLst>
            </c:dLbl>
            <c:dLbl>
              <c:idx val="9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E-61F0-7342-B978-2A30CEEF6918}"/>
                </c:ext>
              </c:extLst>
            </c:dLbl>
            <c:dLbl>
              <c:idx val="9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F-61F0-7342-B978-2A30CEEF6918}"/>
                </c:ext>
              </c:extLst>
            </c:dLbl>
            <c:dLbl>
              <c:idx val="9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0-61F0-7342-B978-2A30CEEF6918}"/>
                </c:ext>
              </c:extLst>
            </c:dLbl>
            <c:dLbl>
              <c:idx val="9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1-61F0-7342-B978-2A30CEEF6918}"/>
                </c:ext>
              </c:extLst>
            </c:dLbl>
            <c:dLbl>
              <c:idx val="10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2-61F0-7342-B978-2A30CEEF6918}"/>
                </c:ext>
              </c:extLst>
            </c:dLbl>
            <c:dLbl>
              <c:idx val="10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3-61F0-7342-B978-2A30CEEF6918}"/>
                </c:ext>
              </c:extLst>
            </c:dLbl>
            <c:dLbl>
              <c:idx val="10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4-61F0-7342-B978-2A30CEEF6918}"/>
                </c:ext>
              </c:extLst>
            </c:dLbl>
            <c:dLbl>
              <c:idx val="10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5-61F0-7342-B978-2A30CEEF6918}"/>
                </c:ext>
              </c:extLst>
            </c:dLbl>
            <c:dLbl>
              <c:idx val="10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6-61F0-7342-B978-2A30CEEF6918}"/>
                </c:ext>
              </c:extLst>
            </c:dLbl>
            <c:dLbl>
              <c:idx val="10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7-61F0-7342-B978-2A30CEEF6918}"/>
                </c:ext>
              </c:extLst>
            </c:dLbl>
            <c:dLbl>
              <c:idx val="10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8-61F0-7342-B978-2A30CEEF6918}"/>
                </c:ext>
              </c:extLst>
            </c:dLbl>
            <c:dLbl>
              <c:idx val="10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9-61F0-7342-B978-2A30CEEF6918}"/>
                </c:ext>
              </c:extLst>
            </c:dLbl>
            <c:dLbl>
              <c:idx val="10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A-61F0-7342-B978-2A30CEEF6918}"/>
                </c:ext>
              </c:extLst>
            </c:dLbl>
            <c:dLbl>
              <c:idx val="10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B-61F0-7342-B978-2A30CEEF6918}"/>
                </c:ext>
              </c:extLst>
            </c:dLbl>
            <c:dLbl>
              <c:idx val="1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C-61F0-7342-B978-2A30CEEF6918}"/>
                </c:ext>
              </c:extLst>
            </c:dLbl>
            <c:dLbl>
              <c:idx val="11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D-61F0-7342-B978-2A30CEEF6918}"/>
                </c:ext>
              </c:extLst>
            </c:dLbl>
            <c:dLbl>
              <c:idx val="11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E-61F0-7342-B978-2A30CEEF6918}"/>
                </c:ext>
              </c:extLst>
            </c:dLbl>
            <c:dLbl>
              <c:idx val="11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F-61F0-7342-B978-2A30CEEF6918}"/>
                </c:ext>
              </c:extLst>
            </c:dLbl>
            <c:dLbl>
              <c:idx val="11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0-61F0-7342-B978-2A30CEEF6918}"/>
                </c:ext>
              </c:extLst>
            </c:dLbl>
            <c:dLbl>
              <c:idx val="1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1-61F0-7342-B978-2A30CEEF6918}"/>
                </c:ext>
              </c:extLst>
            </c:dLbl>
            <c:dLbl>
              <c:idx val="11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2-61F0-7342-B978-2A30CEEF6918}"/>
                </c:ext>
              </c:extLst>
            </c:dLbl>
            <c:dLbl>
              <c:idx val="11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3-61F0-7342-B978-2A30CEEF6918}"/>
                </c:ext>
              </c:extLst>
            </c:dLbl>
            <c:dLbl>
              <c:idx val="11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4-61F0-7342-B978-2A30CEEF6918}"/>
                </c:ext>
              </c:extLst>
            </c:dLbl>
            <c:dLbl>
              <c:idx val="11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5-61F0-7342-B978-2A30CEEF6918}"/>
                </c:ext>
              </c:extLst>
            </c:dLbl>
            <c:dLbl>
              <c:idx val="12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6-61F0-7342-B978-2A30CEEF6918}"/>
                </c:ext>
              </c:extLst>
            </c:dLbl>
            <c:dLbl>
              <c:idx val="12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7-61F0-7342-B978-2A30CEEF6918}"/>
                </c:ext>
              </c:extLst>
            </c:dLbl>
            <c:dLbl>
              <c:idx val="12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8-61F0-7342-B978-2A30CEEF6918}"/>
                </c:ext>
              </c:extLst>
            </c:dLbl>
            <c:dLbl>
              <c:idx val="12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9-61F0-7342-B978-2A30CEEF6918}"/>
                </c:ext>
              </c:extLst>
            </c:dLbl>
            <c:dLbl>
              <c:idx val="12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A-61F0-7342-B978-2A30CEEF6918}"/>
                </c:ext>
              </c:extLst>
            </c:dLbl>
            <c:dLbl>
              <c:idx val="12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B-61F0-7342-B978-2A30CEEF6918}"/>
                </c:ext>
              </c:extLst>
            </c:dLbl>
            <c:dLbl>
              <c:idx val="12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C-61F0-7342-B978-2A30CEEF6918}"/>
                </c:ext>
              </c:extLst>
            </c:dLbl>
            <c:dLbl>
              <c:idx val="12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D-61F0-7342-B978-2A30CEEF6918}"/>
                </c:ext>
              </c:extLst>
            </c:dLbl>
            <c:dLbl>
              <c:idx val="12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E-61F0-7342-B978-2A30CEEF6918}"/>
                </c:ext>
              </c:extLst>
            </c:dLbl>
            <c:dLbl>
              <c:idx val="12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F-61F0-7342-B978-2A30CEEF6918}"/>
                </c:ext>
              </c:extLst>
            </c:dLbl>
            <c:dLbl>
              <c:idx val="13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0-61F0-7342-B978-2A30CEEF6918}"/>
                </c:ext>
              </c:extLst>
            </c:dLbl>
            <c:dLbl>
              <c:idx val="13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1-61F0-7342-B978-2A30CEEF6918}"/>
                </c:ext>
              </c:extLst>
            </c:dLbl>
            <c:dLbl>
              <c:idx val="13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2-61F0-7342-B978-2A30CEEF6918}"/>
                </c:ext>
              </c:extLst>
            </c:dLbl>
            <c:dLbl>
              <c:idx val="13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3-61F0-7342-B978-2A30CEEF6918}"/>
                </c:ext>
              </c:extLst>
            </c:dLbl>
            <c:dLbl>
              <c:idx val="13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4-61F0-7342-B978-2A30CEEF6918}"/>
                </c:ext>
              </c:extLst>
            </c:dLbl>
            <c:dLbl>
              <c:idx val="13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5-61F0-7342-B978-2A30CEEF6918}"/>
                </c:ext>
              </c:extLst>
            </c:dLbl>
            <c:dLbl>
              <c:idx val="13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6-61F0-7342-B978-2A30CEEF6918}"/>
                </c:ext>
              </c:extLst>
            </c:dLbl>
            <c:dLbl>
              <c:idx val="13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7-61F0-7342-B978-2A30CEEF6918}"/>
                </c:ext>
              </c:extLst>
            </c:dLbl>
            <c:dLbl>
              <c:idx val="13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8-61F0-7342-B978-2A30CEEF6918}"/>
                </c:ext>
              </c:extLst>
            </c:dLbl>
            <c:dLbl>
              <c:idx val="13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9-61F0-7342-B978-2A30CEEF6918}"/>
                </c:ext>
              </c:extLst>
            </c:dLbl>
            <c:dLbl>
              <c:idx val="14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A-61F0-7342-B978-2A30CEEF6918}"/>
                </c:ext>
              </c:extLst>
            </c:dLbl>
            <c:dLbl>
              <c:idx val="14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B-61F0-7342-B978-2A30CEEF6918}"/>
                </c:ext>
              </c:extLst>
            </c:dLbl>
            <c:dLbl>
              <c:idx val="14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C-61F0-7342-B978-2A30CEEF6918}"/>
                </c:ext>
              </c:extLst>
            </c:dLbl>
            <c:dLbl>
              <c:idx val="14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D-61F0-7342-B978-2A30CEEF6918}"/>
                </c:ext>
              </c:extLst>
            </c:dLbl>
            <c:dLbl>
              <c:idx val="14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E-61F0-7342-B978-2A30CEEF6918}"/>
                </c:ext>
              </c:extLst>
            </c:dLbl>
            <c:dLbl>
              <c:idx val="14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AF-61F0-7342-B978-2A30CEEF6918}"/>
                </c:ext>
              </c:extLst>
            </c:dLbl>
            <c:dLbl>
              <c:idx val="14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0-61F0-7342-B978-2A30CEEF6918}"/>
                </c:ext>
              </c:extLst>
            </c:dLbl>
            <c:dLbl>
              <c:idx val="14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1-61F0-7342-B978-2A30CEEF6918}"/>
                </c:ext>
              </c:extLst>
            </c:dLbl>
            <c:dLbl>
              <c:idx val="14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2-61F0-7342-B978-2A30CEEF6918}"/>
                </c:ext>
              </c:extLst>
            </c:dLbl>
            <c:dLbl>
              <c:idx val="14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3-61F0-7342-B978-2A30CEEF6918}"/>
                </c:ext>
              </c:extLst>
            </c:dLbl>
            <c:dLbl>
              <c:idx val="15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4-61F0-7342-B978-2A30CEEF6918}"/>
                </c:ext>
              </c:extLst>
            </c:dLbl>
            <c:dLbl>
              <c:idx val="15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5-61F0-7342-B978-2A30CEEF6918}"/>
                </c:ext>
              </c:extLst>
            </c:dLbl>
            <c:dLbl>
              <c:idx val="152"/>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6-61F0-7342-B978-2A30CEEF6918}"/>
                </c:ext>
              </c:extLst>
            </c:dLbl>
            <c:dLbl>
              <c:idx val="153"/>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7-61F0-7342-B978-2A30CEEF6918}"/>
                </c:ext>
              </c:extLst>
            </c:dLbl>
            <c:dLbl>
              <c:idx val="154"/>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8-61F0-7342-B978-2A30CEEF6918}"/>
                </c:ext>
              </c:extLst>
            </c:dLbl>
            <c:dLbl>
              <c:idx val="15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9-61F0-7342-B978-2A30CEEF6918}"/>
                </c:ext>
              </c:extLst>
            </c:dLbl>
            <c:dLbl>
              <c:idx val="156"/>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A-61F0-7342-B978-2A30CEEF6918}"/>
                </c:ext>
              </c:extLst>
            </c:dLbl>
            <c:dLbl>
              <c:idx val="15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B-61F0-7342-B978-2A30CEEF6918}"/>
                </c:ext>
              </c:extLst>
            </c:dLbl>
            <c:dLbl>
              <c:idx val="15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C-61F0-7342-B978-2A30CEEF6918}"/>
                </c:ext>
              </c:extLst>
            </c:dLbl>
            <c:dLbl>
              <c:idx val="159"/>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D-61F0-7342-B978-2A30CEEF6918}"/>
                </c:ext>
              </c:extLst>
            </c:dLbl>
            <c:dLbl>
              <c:idx val="16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BE-61F0-7342-B978-2A30CEEF6918}"/>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AtmDisp!$P$6:$P$166</c:f>
              <c:numCache>
                <c:formatCode>0.00</c:formatCode>
                <c:ptCount val="161"/>
                <c:pt idx="0">
                  <c:v>-1</c:v>
                </c:pt>
                <c:pt idx="1">
                  <c:v>-0.9</c:v>
                </c:pt>
                <c:pt idx="2">
                  <c:v>-0.8</c:v>
                </c:pt>
                <c:pt idx="3">
                  <c:v>-0.70000000000000007</c:v>
                </c:pt>
                <c:pt idx="4">
                  <c:v>-0.60000000000000009</c:v>
                </c:pt>
                <c:pt idx="5">
                  <c:v>-0.50000000000000011</c:v>
                </c:pt>
                <c:pt idx="6">
                  <c:v>-0.40000000000000013</c:v>
                </c:pt>
                <c:pt idx="7">
                  <c:v>-0.30000000000000016</c:v>
                </c:pt>
                <c:pt idx="8">
                  <c:v>-0.20000000000000015</c:v>
                </c:pt>
                <c:pt idx="9">
                  <c:v>-0.10000000000000014</c:v>
                </c:pt>
                <c:pt idx="10">
                  <c:v>-1.3877787807814457E-16</c:v>
                </c:pt>
                <c:pt idx="11">
                  <c:v>9.9999999999999867E-2</c:v>
                </c:pt>
                <c:pt idx="12">
                  <c:v>0.19999999999999987</c:v>
                </c:pt>
                <c:pt idx="13">
                  <c:v>0.29999999999999988</c:v>
                </c:pt>
                <c:pt idx="14">
                  <c:v>0.39999999999999991</c:v>
                </c:pt>
                <c:pt idx="15">
                  <c:v>0.49999999999999989</c:v>
                </c:pt>
                <c:pt idx="16">
                  <c:v>0.59999999999999987</c:v>
                </c:pt>
                <c:pt idx="17">
                  <c:v>0.69999999999999984</c:v>
                </c:pt>
                <c:pt idx="18">
                  <c:v>0.79999999999999982</c:v>
                </c:pt>
                <c:pt idx="19">
                  <c:v>0.8999999999999998</c:v>
                </c:pt>
                <c:pt idx="20">
                  <c:v>0.99999999999999978</c:v>
                </c:pt>
                <c:pt idx="21">
                  <c:v>1.0999999999999999</c:v>
                </c:pt>
                <c:pt idx="22">
                  <c:v>1.2</c:v>
                </c:pt>
                <c:pt idx="23">
                  <c:v>1.3</c:v>
                </c:pt>
                <c:pt idx="24">
                  <c:v>1.4000000000000001</c:v>
                </c:pt>
                <c:pt idx="25">
                  <c:v>1.5000000000000002</c:v>
                </c:pt>
                <c:pt idx="26">
                  <c:v>1.6000000000000003</c:v>
                </c:pt>
                <c:pt idx="27">
                  <c:v>1.7000000000000004</c:v>
                </c:pt>
                <c:pt idx="28">
                  <c:v>1.8000000000000005</c:v>
                </c:pt>
                <c:pt idx="29">
                  <c:v>1.9000000000000006</c:v>
                </c:pt>
                <c:pt idx="30">
                  <c:v>2.0000000000000004</c:v>
                </c:pt>
                <c:pt idx="31">
                  <c:v>2.1000000000000005</c:v>
                </c:pt>
                <c:pt idx="32">
                  <c:v>2.2000000000000006</c:v>
                </c:pt>
                <c:pt idx="33">
                  <c:v>2.3000000000000007</c:v>
                </c:pt>
                <c:pt idx="34">
                  <c:v>2.4000000000000008</c:v>
                </c:pt>
                <c:pt idx="35">
                  <c:v>2.5000000000000009</c:v>
                </c:pt>
                <c:pt idx="36">
                  <c:v>2.600000000000001</c:v>
                </c:pt>
                <c:pt idx="37">
                  <c:v>2.7000000000000011</c:v>
                </c:pt>
                <c:pt idx="38">
                  <c:v>2.8000000000000012</c:v>
                </c:pt>
                <c:pt idx="39">
                  <c:v>2.9000000000000012</c:v>
                </c:pt>
                <c:pt idx="40">
                  <c:v>3.0000000000000013</c:v>
                </c:pt>
                <c:pt idx="41">
                  <c:v>3.1000000000000014</c:v>
                </c:pt>
                <c:pt idx="42">
                  <c:v>3.2000000000000015</c:v>
                </c:pt>
                <c:pt idx="43">
                  <c:v>3.3000000000000016</c:v>
                </c:pt>
                <c:pt idx="44">
                  <c:v>3.4000000000000017</c:v>
                </c:pt>
                <c:pt idx="45">
                  <c:v>3.5000000000000018</c:v>
                </c:pt>
                <c:pt idx="46">
                  <c:v>3.6000000000000019</c:v>
                </c:pt>
                <c:pt idx="47">
                  <c:v>3.700000000000002</c:v>
                </c:pt>
                <c:pt idx="48">
                  <c:v>3.800000000000002</c:v>
                </c:pt>
                <c:pt idx="49">
                  <c:v>3.9000000000000021</c:v>
                </c:pt>
                <c:pt idx="50">
                  <c:v>4.0000000000000018</c:v>
                </c:pt>
                <c:pt idx="51">
                  <c:v>4.1000000000000014</c:v>
                </c:pt>
                <c:pt idx="52">
                  <c:v>4.2000000000000011</c:v>
                </c:pt>
                <c:pt idx="53">
                  <c:v>4.3000000000000007</c:v>
                </c:pt>
                <c:pt idx="54">
                  <c:v>4.4000000000000004</c:v>
                </c:pt>
                <c:pt idx="55">
                  <c:v>4.5</c:v>
                </c:pt>
                <c:pt idx="56">
                  <c:v>4.5999999999999996</c:v>
                </c:pt>
                <c:pt idx="57">
                  <c:v>4.6999999999999993</c:v>
                </c:pt>
                <c:pt idx="58">
                  <c:v>4.7999999999999989</c:v>
                </c:pt>
                <c:pt idx="59">
                  <c:v>4.8999999999999986</c:v>
                </c:pt>
                <c:pt idx="60">
                  <c:v>4.9999999999999982</c:v>
                </c:pt>
                <c:pt idx="61">
                  <c:v>5.0999999999999979</c:v>
                </c:pt>
                <c:pt idx="62">
                  <c:v>5.1999999999999975</c:v>
                </c:pt>
                <c:pt idx="63">
                  <c:v>5.2999999999999972</c:v>
                </c:pt>
                <c:pt idx="64">
                  <c:v>5.3999999999999968</c:v>
                </c:pt>
                <c:pt idx="65">
                  <c:v>5.4999999999999964</c:v>
                </c:pt>
                <c:pt idx="66">
                  <c:v>5.5999999999999961</c:v>
                </c:pt>
                <c:pt idx="67">
                  <c:v>5.6999999999999957</c:v>
                </c:pt>
                <c:pt idx="68">
                  <c:v>5.7999999999999954</c:v>
                </c:pt>
                <c:pt idx="69">
                  <c:v>5.899999999999995</c:v>
                </c:pt>
                <c:pt idx="70">
                  <c:v>5.9999999999999947</c:v>
                </c:pt>
                <c:pt idx="71">
                  <c:v>6.0999999999999943</c:v>
                </c:pt>
                <c:pt idx="72">
                  <c:v>6.199999999999994</c:v>
                </c:pt>
                <c:pt idx="73">
                  <c:v>6.2999999999999936</c:v>
                </c:pt>
                <c:pt idx="74">
                  <c:v>6.3999999999999932</c:v>
                </c:pt>
                <c:pt idx="75">
                  <c:v>6.4999999999999929</c:v>
                </c:pt>
                <c:pt idx="76">
                  <c:v>6.5999999999999925</c:v>
                </c:pt>
                <c:pt idx="77">
                  <c:v>6.6999999999999922</c:v>
                </c:pt>
                <c:pt idx="78">
                  <c:v>6.7999999999999918</c:v>
                </c:pt>
                <c:pt idx="79">
                  <c:v>6.8999999999999915</c:v>
                </c:pt>
                <c:pt idx="80">
                  <c:v>6.9999999999999911</c:v>
                </c:pt>
                <c:pt idx="81">
                  <c:v>7.0999999999999908</c:v>
                </c:pt>
                <c:pt idx="82">
                  <c:v>7.1999999999999904</c:v>
                </c:pt>
                <c:pt idx="83">
                  <c:v>7.2999999999999901</c:v>
                </c:pt>
                <c:pt idx="84">
                  <c:v>7.3999999999999897</c:v>
                </c:pt>
                <c:pt idx="85">
                  <c:v>7.4999999999999893</c:v>
                </c:pt>
                <c:pt idx="86">
                  <c:v>7.599999999999989</c:v>
                </c:pt>
                <c:pt idx="87">
                  <c:v>7.6999999999999886</c:v>
                </c:pt>
                <c:pt idx="88">
                  <c:v>7.7999999999999883</c:v>
                </c:pt>
                <c:pt idx="89">
                  <c:v>7.8999999999999879</c:v>
                </c:pt>
                <c:pt idx="90">
                  <c:v>7.9999999999999876</c:v>
                </c:pt>
                <c:pt idx="91">
                  <c:v>8.0999999999999872</c:v>
                </c:pt>
                <c:pt idx="92">
                  <c:v>8.1999999999999869</c:v>
                </c:pt>
                <c:pt idx="93">
                  <c:v>8.2999999999999865</c:v>
                </c:pt>
                <c:pt idx="94">
                  <c:v>8.3999999999999861</c:v>
                </c:pt>
                <c:pt idx="95">
                  <c:v>8.4999999999999858</c:v>
                </c:pt>
                <c:pt idx="96">
                  <c:v>8.5999999999999854</c:v>
                </c:pt>
                <c:pt idx="97">
                  <c:v>8.6999999999999851</c:v>
                </c:pt>
                <c:pt idx="98">
                  <c:v>8.7999999999999847</c:v>
                </c:pt>
                <c:pt idx="99">
                  <c:v>8.8999999999999844</c:v>
                </c:pt>
                <c:pt idx="100">
                  <c:v>8.999999999999984</c:v>
                </c:pt>
                <c:pt idx="101">
                  <c:v>9.0999999999999837</c:v>
                </c:pt>
                <c:pt idx="102">
                  <c:v>9.1999999999999833</c:v>
                </c:pt>
                <c:pt idx="103">
                  <c:v>9.2999999999999829</c:v>
                </c:pt>
                <c:pt idx="104">
                  <c:v>9.3999999999999826</c:v>
                </c:pt>
                <c:pt idx="105">
                  <c:v>9.4999999999999822</c:v>
                </c:pt>
                <c:pt idx="106">
                  <c:v>9.5999999999999819</c:v>
                </c:pt>
                <c:pt idx="107">
                  <c:v>9.6999999999999815</c:v>
                </c:pt>
                <c:pt idx="108">
                  <c:v>9.7999999999999812</c:v>
                </c:pt>
                <c:pt idx="109">
                  <c:v>9.8999999999999808</c:v>
                </c:pt>
                <c:pt idx="110">
                  <c:v>9.9999999999999805</c:v>
                </c:pt>
                <c:pt idx="111">
                  <c:v>10.09999999999998</c:v>
                </c:pt>
                <c:pt idx="112">
                  <c:v>10.19999999999998</c:v>
                </c:pt>
                <c:pt idx="113">
                  <c:v>10.299999999999979</c:v>
                </c:pt>
                <c:pt idx="114">
                  <c:v>10.399999999999979</c:v>
                </c:pt>
                <c:pt idx="115">
                  <c:v>10.499999999999979</c:v>
                </c:pt>
                <c:pt idx="116">
                  <c:v>10.599999999999978</c:v>
                </c:pt>
                <c:pt idx="117">
                  <c:v>10.699999999999978</c:v>
                </c:pt>
                <c:pt idx="118">
                  <c:v>10.799999999999978</c:v>
                </c:pt>
                <c:pt idx="119">
                  <c:v>10.899999999999977</c:v>
                </c:pt>
                <c:pt idx="120">
                  <c:v>10.999999999999977</c:v>
                </c:pt>
                <c:pt idx="121">
                  <c:v>11.099999999999977</c:v>
                </c:pt>
                <c:pt idx="122">
                  <c:v>11.199999999999976</c:v>
                </c:pt>
                <c:pt idx="123">
                  <c:v>11.299999999999976</c:v>
                </c:pt>
                <c:pt idx="124">
                  <c:v>11.399999999999975</c:v>
                </c:pt>
                <c:pt idx="125">
                  <c:v>11.499999999999975</c:v>
                </c:pt>
                <c:pt idx="126">
                  <c:v>11.599999999999975</c:v>
                </c:pt>
                <c:pt idx="127">
                  <c:v>11.699999999999974</c:v>
                </c:pt>
                <c:pt idx="128">
                  <c:v>11.799999999999974</c:v>
                </c:pt>
                <c:pt idx="129">
                  <c:v>11.899999999999974</c:v>
                </c:pt>
                <c:pt idx="130">
                  <c:v>11.999999999999973</c:v>
                </c:pt>
                <c:pt idx="131">
                  <c:v>12.099999999999973</c:v>
                </c:pt>
                <c:pt idx="132">
                  <c:v>12.199999999999973</c:v>
                </c:pt>
                <c:pt idx="133">
                  <c:v>12.299999999999972</c:v>
                </c:pt>
                <c:pt idx="134">
                  <c:v>12.399999999999972</c:v>
                </c:pt>
                <c:pt idx="135">
                  <c:v>12.499999999999972</c:v>
                </c:pt>
                <c:pt idx="136">
                  <c:v>12.599999999999971</c:v>
                </c:pt>
                <c:pt idx="137">
                  <c:v>12.699999999999971</c:v>
                </c:pt>
                <c:pt idx="138">
                  <c:v>12.799999999999971</c:v>
                </c:pt>
                <c:pt idx="139">
                  <c:v>12.89999999999997</c:v>
                </c:pt>
                <c:pt idx="140">
                  <c:v>12.99999999999997</c:v>
                </c:pt>
                <c:pt idx="141">
                  <c:v>13.099999999999969</c:v>
                </c:pt>
                <c:pt idx="142">
                  <c:v>13.199999999999969</c:v>
                </c:pt>
                <c:pt idx="143">
                  <c:v>13.299999999999969</c:v>
                </c:pt>
                <c:pt idx="144">
                  <c:v>13.399999999999968</c:v>
                </c:pt>
                <c:pt idx="145">
                  <c:v>13.499999999999968</c:v>
                </c:pt>
                <c:pt idx="146">
                  <c:v>13.599999999999968</c:v>
                </c:pt>
                <c:pt idx="147">
                  <c:v>13.699999999999967</c:v>
                </c:pt>
                <c:pt idx="148">
                  <c:v>13.799999999999967</c:v>
                </c:pt>
                <c:pt idx="149">
                  <c:v>13.899999999999967</c:v>
                </c:pt>
                <c:pt idx="150">
                  <c:v>13.999999999999966</c:v>
                </c:pt>
                <c:pt idx="151">
                  <c:v>14.099999999999966</c:v>
                </c:pt>
                <c:pt idx="152">
                  <c:v>14.199999999999966</c:v>
                </c:pt>
                <c:pt idx="153">
                  <c:v>14.299999999999965</c:v>
                </c:pt>
                <c:pt idx="154">
                  <c:v>14.399999999999965</c:v>
                </c:pt>
                <c:pt idx="155">
                  <c:v>14.499999999999964</c:v>
                </c:pt>
                <c:pt idx="156">
                  <c:v>14.599999999999964</c:v>
                </c:pt>
                <c:pt idx="157">
                  <c:v>14.699999999999964</c:v>
                </c:pt>
                <c:pt idx="158">
                  <c:v>14.799999999999963</c:v>
                </c:pt>
                <c:pt idx="159">
                  <c:v>14.899999999999963</c:v>
                </c:pt>
                <c:pt idx="160">
                  <c:v>14.999999999999963</c:v>
                </c:pt>
              </c:numCache>
            </c:numRef>
          </c:xVal>
          <c:yVal>
            <c:numRef>
              <c:f>AtmDisp!$AA$6:$AA$166</c:f>
              <c:numCache>
                <c:formatCode>General</c:formatCode>
                <c:ptCount val="161"/>
                <c:pt idx="0">
                  <c:v>#N/A</c:v>
                </c:pt>
                <c:pt idx="1">
                  <c:v>1.9304932148510452</c:v>
                </c:pt>
                <c:pt idx="2">
                  <c:v>1.7355697942194945</c:v>
                </c:pt>
                <c:pt idx="3">
                  <c:v>1.5757244819013752</c:v>
                </c:pt>
                <c:pt idx="4">
                  <c:v>1.4421770374583971</c:v>
                </c:pt>
                <c:pt idx="5">
                  <c:v>1.328850677827258</c:v>
                </c:pt>
                <c:pt idx="6">
                  <c:v>1.2314059956799617</c:v>
                </c:pt>
                <c:pt idx="7">
                  <c:v>1.1466615201097552</c:v>
                </c:pt>
                <c:pt idx="8">
                  <c:v>1.0722316784038071</c:v>
                </c:pt>
                <c:pt idx="9">
                  <c:v>1.0062925984209421</c:v>
                </c:pt>
                <c:pt idx="10">
                  <c:v>0.94742601361667</c:v>
                </c:pt>
                <c:pt idx="11">
                  <c:v>0.89451248397413574</c:v>
                </c:pt>
                <c:pt idx="12">
                  <c:v>0.84665666546885032</c:v>
                </c:pt>
                <c:pt idx="13">
                  <c:v>0.80313394129908233</c:v>
                </c:pt>
                <c:pt idx="14">
                  <c:v>0.76335161566970444</c:v>
                </c:pt>
                <c:pt idx="15">
                  <c:v>0.72682023672710294</c:v>
                </c:pt>
                <c:pt idx="16">
                  <c:v>0.69313209358131722</c:v>
                </c:pt>
                <c:pt idx="17">
                  <c:v>0.66194487832305049</c:v>
                </c:pt>
                <c:pt idx="18">
                  <c:v>0.63296912236876801</c:v>
                </c:pt>
                <c:pt idx="19">
                  <c:v>0.60595842869773953</c:v>
                </c:pt>
                <c:pt idx="20">
                  <c:v>0.58070180124436677</c:v>
                </c:pt>
                <c:pt idx="21">
                  <c:v>0.55701756559236648</c:v>
                </c:pt>
                <c:pt idx="22">
                  <c:v>0.53474851013293578</c:v>
                </c:pt>
                <c:pt idx="23">
                  <c:v>0.51375797267107426</c:v>
                </c:pt>
                <c:pt idx="24">
                  <c:v>0.49392666634653271</c:v>
                </c:pt>
                <c:pt idx="25">
                  <c:v>0.47515008884696153</c:v>
                </c:pt>
                <c:pt idx="26">
                  <c:v>0.45733639575642304</c:v>
                </c:pt>
                <c:pt idx="27">
                  <c:v>0.44040464629163162</c:v>
                </c:pt>
                <c:pt idx="28">
                  <c:v>0.42428335026264963</c:v>
                </c:pt>
                <c:pt idx="29">
                  <c:v>0.40890926070376882</c:v>
                </c:pt>
                <c:pt idx="30">
                  <c:v>0.39422636856821003</c:v>
                </c:pt>
                <c:pt idx="31">
                  <c:v>0.38018506511065592</c:v>
                </c:pt>
                <c:pt idx="32">
                  <c:v>0.36674144477806647</c:v>
                </c:pt>
                <c:pt idx="33">
                  <c:v>0.35385672709080068</c:v>
                </c:pt>
                <c:pt idx="34">
                  <c:v>0.34149678048873211</c:v>
                </c:pt>
                <c:pt idx="35">
                  <c:v>0.32963173470907625</c:v>
                </c:pt>
                <c:pt idx="36">
                  <c:v>0.31823567114834789</c:v>
                </c:pt>
                <c:pt idx="37">
                  <c:v>0.30728638297615485</c:v>
                </c:pt>
                <c:pt idx="38">
                  <c:v>0.29676519860002382</c:v>
                </c:pt>
                <c:pt idx="39">
                  <c:v>0.28665686346936325</c:v>
                </c:pt>
                <c:pt idx="40">
                  <c:v>0.27694947614811971</c:v>
                </c:pt>
                <c:pt idx="41">
                  <c:v>0.26763447502395682</c:v>
                </c:pt>
                <c:pt idx="42">
                  <c:v>0.25870667184228319</c:v>
                </c:pt>
                <c:pt idx="43">
                  <c:v>0.25016432727297744</c:v>
                </c:pt>
                <c:pt idx="44">
                  <c:v>0.24200926167689762</c:v>
                </c:pt>
                <c:pt idx="45">
                  <c:v>0.23424699080522463</c:v>
                </c:pt>
                <c:pt idx="46">
                  <c:v>0.22688687095700846</c:v>
                </c:pt>
                <c:pt idx="47">
                  <c:v>0.21994223078526171</c:v>
                </c:pt>
                <c:pt idx="48">
                  <c:v>0.21343045730776986</c:v>
                </c:pt>
                <c:pt idx="49">
                  <c:v>0.20737299203223974</c:v>
                </c:pt>
                <c:pt idx="50">
                  <c:v>0.20179518061610766</c:v>
                </c:pt>
                <c:pt idx="51">
                  <c:v>0.19672590874186785</c:v>
                </c:pt>
                <c:pt idx="52">
                  <c:v>0.19219695240139481</c:v>
                </c:pt>
                <c:pt idx="53">
                  <c:v>0.18824197899447506</c:v>
                </c:pt>
                <c:pt idx="54">
                  <c:v>0.1848951638871788</c:v>
                </c:pt>
                <c:pt idx="55">
                  <c:v>0.18218944073034357</c:v>
                </c:pt>
                <c:pt idx="56">
                  <c:v>0.18015448172817461</c:v>
                </c:pt>
                <c:pt idx="57">
                  <c:v>0.17881459357977728</c:v>
                </c:pt>
                <c:pt idx="58">
                  <c:v>0.17818679051426373</c:v>
                </c:pt>
                <c:pt idx="59">
                  <c:v>0.17827933537257265</c:v>
                </c:pt>
                <c:pt idx="60">
                  <c:v>0.17909099816677471</c:v>
                </c:pt>
                <c:pt idx="61">
                  <c:v>0.18061116781746744</c:v>
                </c:pt>
                <c:pt idx="62">
                  <c:v>0.18282079624628225</c:v>
                </c:pt>
                <c:pt idx="63">
                  <c:v>0.18569400418920398</c:v>
                </c:pt>
                <c:pt idx="64">
                  <c:v>0.18920008127063945</c:v>
                </c:pt>
                <c:pt idx="65">
                  <c:v>0.19330559088131677</c:v>
                </c:pt>
                <c:pt idx="66">
                  <c:v>0.19797633475670423</c:v>
                </c:pt>
                <c:pt idx="67">
                  <c:v>0.20317901440304936</c:v>
                </c:pt>
                <c:pt idx="68">
                  <c:v>0.20888251501270216</c:v>
                </c:pt>
                <c:pt idx="69">
                  <c:v>0.21505880985858242</c:v>
                </c:pt>
                <c:pt idx="70">
                  <c:v>0.22168353004951405</c:v>
                </c:pt>
                <c:pt idx="71">
                  <c:v>0.22873626696986243</c:v>
                </c:pt>
                <c:pt idx="72">
                  <c:v>0.23620067898315342</c:v>
                </c:pt>
                <c:pt idx="73">
                  <c:v>0.24406446734347234</c:v>
                </c:pt>
                <c:pt idx="74">
                  <c:v>0.25231927472303661</c:v>
                </c:pt>
                <c:pt idx="75">
                  <c:v>0.26096054731072454</c:v>
                </c:pt>
                <c:pt idx="76">
                  <c:v>0.26998739023862922</c:v>
                </c:pt>
                <c:pt idx="77">
                  <c:v>0.27940243704660439</c:v>
                </c:pt>
                <c:pt idx="78">
                  <c:v>0.28921174713293368</c:v>
                </c:pt>
                <c:pt idx="79">
                  <c:v>0.29942474042337885</c:v>
                </c:pt>
                <c:pt idx="80">
                  <c:v>0.31005417544948038</c:v>
                </c:pt>
                <c:pt idx="81">
                  <c:v>0.3211161752873013</c:v>
                </c:pt>
                <c:pt idx="82">
                  <c:v>0.33263030505444047</c:v>
                </c:pt>
                <c:pt idx="83">
                  <c:v>0.34461970465671138</c:v>
                </c:pt>
                <c:pt idx="84">
                  <c:v>0.35711128105167356</c:v>
                </c:pt>
                <c:pt idx="85">
                  <c:v>0.37013596535562415</c:v>
                </c:pt>
                <c:pt idx="86">
                  <c:v>0.38372904162169169</c:v>
                </c:pt>
                <c:pt idx="87">
                  <c:v>0.39793055606657268</c:v>
                </c:pt>
                <c:pt idx="88">
                  <c:v>0.41278581797496955</c:v>
                </c:pt>
                <c:pt idx="89">
                  <c:v>0.42834600656262056</c:v>
                </c:pt>
                <c:pt idx="90">
                  <c:v>0.44466890188076524</c:v>
                </c:pt>
                <c:pt idx="91">
                  <c:v>0.4618197626084718</c:v>
                </c:pt>
                <c:pt idx="92">
                  <c:v>0.4798723795951253</c:v>
                </c:pt>
                <c:pt idx="93">
                  <c:v>0.49891034167976389</c:v>
                </c:pt>
                <c:pt idx="94">
                  <c:v>0.51902856016752552</c:v>
                </c:pt>
                <c:pt idx="95">
                  <c:v>0.54033511112820476</c:v>
                </c:pt>
                <c:pt idx="96">
                  <c:v>0.56295347142411212</c:v>
                </c:pt>
                <c:pt idx="97">
                  <c:v>0.58702524650736732</c:v>
                </c:pt>
                <c:pt idx="98">
                  <c:v>0.61271351757279657</c:v>
                </c:pt>
                <c:pt idx="99">
                  <c:v>0.6402069754980243</c:v>
                </c:pt>
                <c:pt idx="100">
                  <c:v>0.66972506331613302</c:v>
                </c:pt>
                <c:pt idx="101">
                  <c:v>0.7015244238489019</c:v>
                </c:pt>
                <c:pt idx="102">
                  <c:v>0.73590705363132536</c:v>
                </c:pt>
                <c:pt idx="103">
                  <c:v>0.77323071201232052</c:v>
                </c:pt>
                <c:pt idx="104">
                  <c:v>0.81392234618433279</c:v>
                </c:pt>
                <c:pt idx="105">
                  <c:v>0.8584956013656303</c:v>
                </c:pt>
                <c:pt idx="106">
                  <c:v>0.90757394199804342</c:v>
                </c:pt>
                <c:pt idx="107">
                  <c:v>0.96192159817590528</c:v>
                </c:pt>
                <c:pt idx="108">
                  <c:v>1.0224856100487281</c:v>
                </c:pt>
                <c:pt idx="109">
                  <c:v>1.0904539068923729</c:v>
                </c:pt>
                <c:pt idx="110">
                  <c:v>1.1673370377882106</c:v>
                </c:pt>
                <c:pt idx="111">
                  <c:v>1.2550856072984635</c:v>
                </c:pt>
                <c:pt idx="112">
                  <c:v>1.3562630411778218</c:v>
                </c:pt>
                <c:pt idx="113">
                  <c:v>1.4743066856043112</c:v>
                </c:pt>
                <c:pt idx="114">
                  <c:v>1.6139348376792566</c:v>
                </c:pt>
                <c:pt idx="115">
                  <c:v>1.7818046357447319</c:v>
                </c:pt>
                <c:pt idx="116">
                  <c:v>1.9876218335506961</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numCache>
            </c:numRef>
          </c:yVal>
          <c:smooth val="1"/>
          <c:extLst>
            <c:ext xmlns:c15="http://schemas.microsoft.com/office/drawing/2012/chart" uri="{02D57815-91ED-43cb-92C2-25804820EDAC}">
              <c15:datalabelsRange>
                <c15:f>Calcs!$O$36</c15:f>
                <c15:dlblRangeCache>
                  <c:ptCount val="1"/>
                  <c:pt idx="0">
                    <c:v>midnight</c:v>
                  </c:pt>
                </c15:dlblRangeCache>
              </c15:datalabelsRange>
            </c:ext>
            <c:ext xmlns:c16="http://schemas.microsoft.com/office/drawing/2014/chart" uri="{C3380CC4-5D6E-409C-BE32-E72D297353CC}">
              <c16:uniqueId val="{00000007-61F0-7342-B978-2A30CEEF6918}"/>
            </c:ext>
          </c:extLst>
        </c:ser>
        <c:ser>
          <c:idx val="10"/>
          <c:order val="5"/>
          <c:tx>
            <c:v>8500A</c:v>
          </c:tx>
          <c:spPr>
            <a:ln w="12700">
              <a:solidFill>
                <a:srgbClr val="C00000"/>
              </a:solidFill>
            </a:ln>
          </c:spPr>
          <c:marker>
            <c:symbol val="none"/>
          </c:marker>
          <c:xVal>
            <c:numRef>
              <c:f>AtmDisp!$P$6:$P$166</c:f>
              <c:numCache>
                <c:formatCode>0.00</c:formatCode>
                <c:ptCount val="161"/>
                <c:pt idx="0">
                  <c:v>-1</c:v>
                </c:pt>
                <c:pt idx="1">
                  <c:v>-0.9</c:v>
                </c:pt>
                <c:pt idx="2">
                  <c:v>-0.8</c:v>
                </c:pt>
                <c:pt idx="3">
                  <c:v>-0.70000000000000007</c:v>
                </c:pt>
                <c:pt idx="4">
                  <c:v>-0.60000000000000009</c:v>
                </c:pt>
                <c:pt idx="5">
                  <c:v>-0.50000000000000011</c:v>
                </c:pt>
                <c:pt idx="6">
                  <c:v>-0.40000000000000013</c:v>
                </c:pt>
                <c:pt idx="7">
                  <c:v>-0.30000000000000016</c:v>
                </c:pt>
                <c:pt idx="8">
                  <c:v>-0.20000000000000015</c:v>
                </c:pt>
                <c:pt idx="9">
                  <c:v>-0.10000000000000014</c:v>
                </c:pt>
                <c:pt idx="10">
                  <c:v>-1.3877787807814457E-16</c:v>
                </c:pt>
                <c:pt idx="11">
                  <c:v>9.9999999999999867E-2</c:v>
                </c:pt>
                <c:pt idx="12">
                  <c:v>0.19999999999999987</c:v>
                </c:pt>
                <c:pt idx="13">
                  <c:v>0.29999999999999988</c:v>
                </c:pt>
                <c:pt idx="14">
                  <c:v>0.39999999999999991</c:v>
                </c:pt>
                <c:pt idx="15">
                  <c:v>0.49999999999999989</c:v>
                </c:pt>
                <c:pt idx="16">
                  <c:v>0.59999999999999987</c:v>
                </c:pt>
                <c:pt idx="17">
                  <c:v>0.69999999999999984</c:v>
                </c:pt>
                <c:pt idx="18">
                  <c:v>0.79999999999999982</c:v>
                </c:pt>
                <c:pt idx="19">
                  <c:v>0.8999999999999998</c:v>
                </c:pt>
                <c:pt idx="20">
                  <c:v>0.99999999999999978</c:v>
                </c:pt>
                <c:pt idx="21">
                  <c:v>1.0999999999999999</c:v>
                </c:pt>
                <c:pt idx="22">
                  <c:v>1.2</c:v>
                </c:pt>
                <c:pt idx="23">
                  <c:v>1.3</c:v>
                </c:pt>
                <c:pt idx="24">
                  <c:v>1.4000000000000001</c:v>
                </c:pt>
                <c:pt idx="25">
                  <c:v>1.5000000000000002</c:v>
                </c:pt>
                <c:pt idx="26">
                  <c:v>1.6000000000000003</c:v>
                </c:pt>
                <c:pt idx="27">
                  <c:v>1.7000000000000004</c:v>
                </c:pt>
                <c:pt idx="28">
                  <c:v>1.8000000000000005</c:v>
                </c:pt>
                <c:pt idx="29">
                  <c:v>1.9000000000000006</c:v>
                </c:pt>
                <c:pt idx="30">
                  <c:v>2.0000000000000004</c:v>
                </c:pt>
                <c:pt idx="31">
                  <c:v>2.1000000000000005</c:v>
                </c:pt>
                <c:pt idx="32">
                  <c:v>2.2000000000000006</c:v>
                </c:pt>
                <c:pt idx="33">
                  <c:v>2.3000000000000007</c:v>
                </c:pt>
                <c:pt idx="34">
                  <c:v>2.4000000000000008</c:v>
                </c:pt>
                <c:pt idx="35">
                  <c:v>2.5000000000000009</c:v>
                </c:pt>
                <c:pt idx="36">
                  <c:v>2.600000000000001</c:v>
                </c:pt>
                <c:pt idx="37">
                  <c:v>2.7000000000000011</c:v>
                </c:pt>
                <c:pt idx="38">
                  <c:v>2.8000000000000012</c:v>
                </c:pt>
                <c:pt idx="39">
                  <c:v>2.9000000000000012</c:v>
                </c:pt>
                <c:pt idx="40">
                  <c:v>3.0000000000000013</c:v>
                </c:pt>
                <c:pt idx="41">
                  <c:v>3.1000000000000014</c:v>
                </c:pt>
                <c:pt idx="42">
                  <c:v>3.2000000000000015</c:v>
                </c:pt>
                <c:pt idx="43">
                  <c:v>3.3000000000000016</c:v>
                </c:pt>
                <c:pt idx="44">
                  <c:v>3.4000000000000017</c:v>
                </c:pt>
                <c:pt idx="45">
                  <c:v>3.5000000000000018</c:v>
                </c:pt>
                <c:pt idx="46">
                  <c:v>3.6000000000000019</c:v>
                </c:pt>
                <c:pt idx="47">
                  <c:v>3.700000000000002</c:v>
                </c:pt>
                <c:pt idx="48">
                  <c:v>3.800000000000002</c:v>
                </c:pt>
                <c:pt idx="49">
                  <c:v>3.9000000000000021</c:v>
                </c:pt>
                <c:pt idx="50">
                  <c:v>4.0000000000000018</c:v>
                </c:pt>
                <c:pt idx="51">
                  <c:v>4.1000000000000014</c:v>
                </c:pt>
                <c:pt idx="52">
                  <c:v>4.2000000000000011</c:v>
                </c:pt>
                <c:pt idx="53">
                  <c:v>4.3000000000000007</c:v>
                </c:pt>
                <c:pt idx="54">
                  <c:v>4.4000000000000004</c:v>
                </c:pt>
                <c:pt idx="55">
                  <c:v>4.5</c:v>
                </c:pt>
                <c:pt idx="56">
                  <c:v>4.5999999999999996</c:v>
                </c:pt>
                <c:pt idx="57">
                  <c:v>4.6999999999999993</c:v>
                </c:pt>
                <c:pt idx="58">
                  <c:v>4.7999999999999989</c:v>
                </c:pt>
                <c:pt idx="59">
                  <c:v>4.8999999999999986</c:v>
                </c:pt>
                <c:pt idx="60">
                  <c:v>4.9999999999999982</c:v>
                </c:pt>
                <c:pt idx="61">
                  <c:v>5.0999999999999979</c:v>
                </c:pt>
                <c:pt idx="62">
                  <c:v>5.1999999999999975</c:v>
                </c:pt>
                <c:pt idx="63">
                  <c:v>5.2999999999999972</c:v>
                </c:pt>
                <c:pt idx="64">
                  <c:v>5.3999999999999968</c:v>
                </c:pt>
                <c:pt idx="65">
                  <c:v>5.4999999999999964</c:v>
                </c:pt>
                <c:pt idx="66">
                  <c:v>5.5999999999999961</c:v>
                </c:pt>
                <c:pt idx="67">
                  <c:v>5.6999999999999957</c:v>
                </c:pt>
                <c:pt idx="68">
                  <c:v>5.7999999999999954</c:v>
                </c:pt>
                <c:pt idx="69">
                  <c:v>5.899999999999995</c:v>
                </c:pt>
                <c:pt idx="70">
                  <c:v>5.9999999999999947</c:v>
                </c:pt>
                <c:pt idx="71">
                  <c:v>6.0999999999999943</c:v>
                </c:pt>
                <c:pt idx="72">
                  <c:v>6.199999999999994</c:v>
                </c:pt>
                <c:pt idx="73">
                  <c:v>6.2999999999999936</c:v>
                </c:pt>
                <c:pt idx="74">
                  <c:v>6.3999999999999932</c:v>
                </c:pt>
                <c:pt idx="75">
                  <c:v>6.4999999999999929</c:v>
                </c:pt>
                <c:pt idx="76">
                  <c:v>6.5999999999999925</c:v>
                </c:pt>
                <c:pt idx="77">
                  <c:v>6.6999999999999922</c:v>
                </c:pt>
                <c:pt idx="78">
                  <c:v>6.7999999999999918</c:v>
                </c:pt>
                <c:pt idx="79">
                  <c:v>6.8999999999999915</c:v>
                </c:pt>
                <c:pt idx="80">
                  <c:v>6.9999999999999911</c:v>
                </c:pt>
                <c:pt idx="81">
                  <c:v>7.0999999999999908</c:v>
                </c:pt>
                <c:pt idx="82">
                  <c:v>7.1999999999999904</c:v>
                </c:pt>
                <c:pt idx="83">
                  <c:v>7.2999999999999901</c:v>
                </c:pt>
                <c:pt idx="84">
                  <c:v>7.3999999999999897</c:v>
                </c:pt>
                <c:pt idx="85">
                  <c:v>7.4999999999999893</c:v>
                </c:pt>
                <c:pt idx="86">
                  <c:v>7.599999999999989</c:v>
                </c:pt>
                <c:pt idx="87">
                  <c:v>7.6999999999999886</c:v>
                </c:pt>
                <c:pt idx="88">
                  <c:v>7.7999999999999883</c:v>
                </c:pt>
                <c:pt idx="89">
                  <c:v>7.8999999999999879</c:v>
                </c:pt>
                <c:pt idx="90">
                  <c:v>7.9999999999999876</c:v>
                </c:pt>
                <c:pt idx="91">
                  <c:v>8.0999999999999872</c:v>
                </c:pt>
                <c:pt idx="92">
                  <c:v>8.1999999999999869</c:v>
                </c:pt>
                <c:pt idx="93">
                  <c:v>8.2999999999999865</c:v>
                </c:pt>
                <c:pt idx="94">
                  <c:v>8.3999999999999861</c:v>
                </c:pt>
                <c:pt idx="95">
                  <c:v>8.4999999999999858</c:v>
                </c:pt>
                <c:pt idx="96">
                  <c:v>8.5999999999999854</c:v>
                </c:pt>
                <c:pt idx="97">
                  <c:v>8.6999999999999851</c:v>
                </c:pt>
                <c:pt idx="98">
                  <c:v>8.7999999999999847</c:v>
                </c:pt>
                <c:pt idx="99">
                  <c:v>8.8999999999999844</c:v>
                </c:pt>
                <c:pt idx="100">
                  <c:v>8.999999999999984</c:v>
                </c:pt>
                <c:pt idx="101">
                  <c:v>9.0999999999999837</c:v>
                </c:pt>
                <c:pt idx="102">
                  <c:v>9.1999999999999833</c:v>
                </c:pt>
                <c:pt idx="103">
                  <c:v>9.2999999999999829</c:v>
                </c:pt>
                <c:pt idx="104">
                  <c:v>9.3999999999999826</c:v>
                </c:pt>
                <c:pt idx="105">
                  <c:v>9.4999999999999822</c:v>
                </c:pt>
                <c:pt idx="106">
                  <c:v>9.5999999999999819</c:v>
                </c:pt>
                <c:pt idx="107">
                  <c:v>9.6999999999999815</c:v>
                </c:pt>
                <c:pt idx="108">
                  <c:v>9.7999999999999812</c:v>
                </c:pt>
                <c:pt idx="109">
                  <c:v>9.8999999999999808</c:v>
                </c:pt>
                <c:pt idx="110">
                  <c:v>9.9999999999999805</c:v>
                </c:pt>
                <c:pt idx="111">
                  <c:v>10.09999999999998</c:v>
                </c:pt>
                <c:pt idx="112">
                  <c:v>10.19999999999998</c:v>
                </c:pt>
                <c:pt idx="113">
                  <c:v>10.299999999999979</c:v>
                </c:pt>
                <c:pt idx="114">
                  <c:v>10.399999999999979</c:v>
                </c:pt>
                <c:pt idx="115">
                  <c:v>10.499999999999979</c:v>
                </c:pt>
                <c:pt idx="116">
                  <c:v>10.599999999999978</c:v>
                </c:pt>
                <c:pt idx="117">
                  <c:v>10.699999999999978</c:v>
                </c:pt>
                <c:pt idx="118">
                  <c:v>10.799999999999978</c:v>
                </c:pt>
                <c:pt idx="119">
                  <c:v>10.899999999999977</c:v>
                </c:pt>
                <c:pt idx="120">
                  <c:v>10.999999999999977</c:v>
                </c:pt>
                <c:pt idx="121">
                  <c:v>11.099999999999977</c:v>
                </c:pt>
                <c:pt idx="122">
                  <c:v>11.199999999999976</c:v>
                </c:pt>
                <c:pt idx="123">
                  <c:v>11.299999999999976</c:v>
                </c:pt>
                <c:pt idx="124">
                  <c:v>11.399999999999975</c:v>
                </c:pt>
                <c:pt idx="125">
                  <c:v>11.499999999999975</c:v>
                </c:pt>
                <c:pt idx="126">
                  <c:v>11.599999999999975</c:v>
                </c:pt>
                <c:pt idx="127">
                  <c:v>11.699999999999974</c:v>
                </c:pt>
                <c:pt idx="128">
                  <c:v>11.799999999999974</c:v>
                </c:pt>
                <c:pt idx="129">
                  <c:v>11.899999999999974</c:v>
                </c:pt>
                <c:pt idx="130">
                  <c:v>11.999999999999973</c:v>
                </c:pt>
                <c:pt idx="131">
                  <c:v>12.099999999999973</c:v>
                </c:pt>
                <c:pt idx="132">
                  <c:v>12.199999999999973</c:v>
                </c:pt>
                <c:pt idx="133">
                  <c:v>12.299999999999972</c:v>
                </c:pt>
                <c:pt idx="134">
                  <c:v>12.399999999999972</c:v>
                </c:pt>
                <c:pt idx="135">
                  <c:v>12.499999999999972</c:v>
                </c:pt>
                <c:pt idx="136">
                  <c:v>12.599999999999971</c:v>
                </c:pt>
                <c:pt idx="137">
                  <c:v>12.699999999999971</c:v>
                </c:pt>
                <c:pt idx="138">
                  <c:v>12.799999999999971</c:v>
                </c:pt>
                <c:pt idx="139">
                  <c:v>12.89999999999997</c:v>
                </c:pt>
                <c:pt idx="140">
                  <c:v>12.99999999999997</c:v>
                </c:pt>
                <c:pt idx="141">
                  <c:v>13.099999999999969</c:v>
                </c:pt>
                <c:pt idx="142">
                  <c:v>13.199999999999969</c:v>
                </c:pt>
                <c:pt idx="143">
                  <c:v>13.299999999999969</c:v>
                </c:pt>
                <c:pt idx="144">
                  <c:v>13.399999999999968</c:v>
                </c:pt>
                <c:pt idx="145">
                  <c:v>13.499999999999968</c:v>
                </c:pt>
                <c:pt idx="146">
                  <c:v>13.599999999999968</c:v>
                </c:pt>
                <c:pt idx="147">
                  <c:v>13.699999999999967</c:v>
                </c:pt>
                <c:pt idx="148">
                  <c:v>13.799999999999967</c:v>
                </c:pt>
                <c:pt idx="149">
                  <c:v>13.899999999999967</c:v>
                </c:pt>
                <c:pt idx="150">
                  <c:v>13.999999999999966</c:v>
                </c:pt>
                <c:pt idx="151">
                  <c:v>14.099999999999966</c:v>
                </c:pt>
                <c:pt idx="152">
                  <c:v>14.199999999999966</c:v>
                </c:pt>
                <c:pt idx="153">
                  <c:v>14.299999999999965</c:v>
                </c:pt>
                <c:pt idx="154">
                  <c:v>14.399999999999965</c:v>
                </c:pt>
                <c:pt idx="155">
                  <c:v>14.499999999999964</c:v>
                </c:pt>
                <c:pt idx="156">
                  <c:v>14.599999999999964</c:v>
                </c:pt>
                <c:pt idx="157">
                  <c:v>14.699999999999964</c:v>
                </c:pt>
                <c:pt idx="158">
                  <c:v>14.799999999999963</c:v>
                </c:pt>
                <c:pt idx="159">
                  <c:v>14.899999999999963</c:v>
                </c:pt>
                <c:pt idx="160">
                  <c:v>14.999999999999963</c:v>
                </c:pt>
              </c:numCache>
            </c:numRef>
          </c:xVal>
          <c:yVal>
            <c:numRef>
              <c:f>AtmDisp!$AB$6:$AB$166</c:f>
              <c:numCache>
                <c:formatCode>General</c:formatCode>
                <c:ptCount val="161"/>
                <c:pt idx="0">
                  <c:v>#N/A</c:v>
                </c:pt>
                <c:pt idx="1">
                  <c:v>1.4985608502110837</c:v>
                </c:pt>
                <c:pt idx="2">
                  <c:v>1.3472169976486292</c:v>
                </c:pt>
                <c:pt idx="3">
                  <c:v>1.223108743741057</c:v>
                </c:pt>
                <c:pt idx="4">
                  <c:v>1.1194188706802146</c:v>
                </c:pt>
                <c:pt idx="5">
                  <c:v>1.0314291985931723</c:v>
                </c:pt>
                <c:pt idx="6">
                  <c:v>0.95577049344571829</c:v>
                </c:pt>
                <c:pt idx="7">
                  <c:v>0.88997257457775891</c:v>
                </c:pt>
                <c:pt idx="8">
                  <c:v>0.83218321836343168</c:v>
                </c:pt>
                <c:pt idx="9">
                  <c:v>0.7809863207987513</c:v>
                </c:pt>
                <c:pt idx="10">
                  <c:v>0.73528070111176058</c:v>
                </c:pt>
                <c:pt idx="11">
                  <c:v>0.69419719558516713</c:v>
                </c:pt>
                <c:pt idx="12">
                  <c:v>0.65704063473345808</c:v>
                </c:pt>
                <c:pt idx="13">
                  <c:v>0.6232484063366639</c:v>
                </c:pt>
                <c:pt idx="14">
                  <c:v>0.5923603252372418</c:v>
                </c:pt>
                <c:pt idx="15">
                  <c:v>0.56399636768571226</c:v>
                </c:pt>
                <c:pt idx="16">
                  <c:v>0.53783997584301024</c:v>
                </c:pt>
                <c:pt idx="17">
                  <c:v>0.51362537252552332</c:v>
                </c:pt>
                <c:pt idx="18">
                  <c:v>0.4911278064412517</c:v>
                </c:pt>
                <c:pt idx="19">
                  <c:v>0.4701559682326209</c:v>
                </c:pt>
                <c:pt idx="20">
                  <c:v>0.45054603480777428</c:v>
                </c:pt>
                <c:pt idx="21">
                  <c:v>0.43215694920196496</c:v>
                </c:pt>
                <c:pt idx="22">
                  <c:v>0.41486664804042411</c:v>
                </c:pt>
                <c:pt idx="23">
                  <c:v>0.39856902307292735</c:v>
                </c:pt>
                <c:pt idx="24">
                  <c:v>0.38317145673237185</c:v>
                </c:pt>
                <c:pt idx="25">
                  <c:v>0.3685928105773052</c:v>
                </c:pt>
                <c:pt idx="26">
                  <c:v>0.3547617741017895</c:v>
                </c:pt>
                <c:pt idx="27">
                  <c:v>0.34161550267724095</c:v>
                </c:pt>
                <c:pt idx="28">
                  <c:v>0.32909848937314029</c:v>
                </c:pt>
                <c:pt idx="29">
                  <c:v>0.31716162752276589</c:v>
                </c:pt>
                <c:pt idx="30">
                  <c:v>0.30576143017677931</c:v>
                </c:pt>
                <c:pt idx="31">
                  <c:v>0.2948593797542105</c:v>
                </c:pt>
                <c:pt idx="32">
                  <c:v>0.28442138678790141</c:v>
                </c:pt>
                <c:pt idx="33">
                  <c:v>0.27441734105726351</c:v>
                </c:pt>
                <c:pt idx="34">
                  <c:v>0.26482074188943372</c:v>
                </c:pt>
                <c:pt idx="35">
                  <c:v>0.25560839719886264</c:v>
                </c:pt>
                <c:pt idx="36">
                  <c:v>0.24676018307590536</c:v>
                </c:pt>
                <c:pt idx="37">
                  <c:v>0.2382588575326372</c:v>
                </c:pt>
                <c:pt idx="38">
                  <c:v>0.23008992343613674</c:v>
                </c:pt>
                <c:pt idx="39">
                  <c:v>0.22224153673786357</c:v>
                </c:pt>
                <c:pt idx="40">
                  <c:v>0.21470445683872741</c:v>
                </c:pt>
                <c:pt idx="41">
                  <c:v>0.20747203626973282</c:v>
                </c:pt>
                <c:pt idx="42">
                  <c:v>0.20054024672871182</c:v>
                </c:pt>
                <c:pt idx="43">
                  <c:v>0.19390773775238701</c:v>
                </c:pt>
                <c:pt idx="44">
                  <c:v>0.18757592271850659</c:v>
                </c:pt>
                <c:pt idx="45">
                  <c:v>0.18154908420651014</c:v>
                </c:pt>
                <c:pt idx="46">
                  <c:v>0.17583448670180105</c:v>
                </c:pt>
                <c:pt idx="47">
                  <c:v>0.17044247893358716</c:v>
                </c:pt>
                <c:pt idx="48">
                  <c:v>0.16538656065601662</c:v>
                </c:pt>
                <c:pt idx="49">
                  <c:v>0.16068337963963736</c:v>
                </c:pt>
                <c:pt idx="50">
                  <c:v>0.15635261494317773</c:v>
                </c:pt>
                <c:pt idx="51">
                  <c:v>0.15241669419723447</c:v>
                </c:pt>
                <c:pt idx="52">
                  <c:v>0.14890028914732534</c:v>
                </c:pt>
                <c:pt idx="53">
                  <c:v>0.14582954007958399</c:v>
                </c:pt>
                <c:pt idx="54">
                  <c:v>0.14323098167900122</c:v>
                </c:pt>
                <c:pt idx="55">
                  <c:v>0.14113018452904291</c:v>
                </c:pt>
                <c:pt idx="56">
                  <c:v>0.13955018693718324</c:v>
                </c:pt>
                <c:pt idx="57">
                  <c:v>0.13850986128660614</c:v>
                </c:pt>
                <c:pt idx="58">
                  <c:v>0.13802241788818082</c:v>
                </c:pt>
                <c:pt idx="59">
                  <c:v>0.13809427223665233</c:v>
                </c:pt>
                <c:pt idx="60">
                  <c:v>0.13872446933589339</c:v>
                </c:pt>
                <c:pt idx="61">
                  <c:v>0.13990477045486069</c:v>
                </c:pt>
                <c:pt idx="62">
                  <c:v>0.14162038614673014</c:v>
                </c:pt>
                <c:pt idx="63">
                  <c:v>0.14385122304609263</c:v>
                </c:pt>
                <c:pt idx="64">
                  <c:v>0.14657343678093349</c:v>
                </c:pt>
                <c:pt idx="65">
                  <c:v>0.14976106625716032</c:v>
                </c:pt>
                <c:pt idx="66">
                  <c:v>0.15338755901079307</c:v>
                </c:pt>
                <c:pt idx="67">
                  <c:v>0.1574270611843902</c:v>
                </c:pt>
                <c:pt idx="68">
                  <c:v>0.16185541439387338</c:v>
                </c:pt>
                <c:pt idx="69">
                  <c:v>0.1666508579250231</c:v>
                </c:pt>
                <c:pt idx="70">
                  <c:v>0.17179447110703799</c:v>
                </c:pt>
                <c:pt idx="71">
                  <c:v>0.17727040813490591</c:v>
                </c:pt>
                <c:pt idx="72">
                  <c:v>0.18306598091700016</c:v>
                </c:pt>
                <c:pt idx="73">
                  <c:v>0.18917164037203343</c:v>
                </c:pt>
                <c:pt idx="74">
                  <c:v>0.19558089764310155</c:v>
                </c:pt>
                <c:pt idx="75">
                  <c:v>0.20229021702722555</c:v>
                </c:pt>
                <c:pt idx="76">
                  <c:v>0.20929890372459062</c:v>
                </c:pt>
                <c:pt idx="77">
                  <c:v>0.2166090024872642</c:v>
                </c:pt>
                <c:pt idx="78">
                  <c:v>0.22422521799710288</c:v>
                </c:pt>
                <c:pt idx="79">
                  <c:v>0.23215486414102182</c:v>
                </c:pt>
                <c:pt idx="80">
                  <c:v>0.24040784699039067</c:v>
                </c:pt>
                <c:pt idx="81">
                  <c:v>0.24899668494058042</c:v>
                </c:pt>
                <c:pt idx="82">
                  <c:v>0.25793656888175531</c:v>
                </c:pt>
                <c:pt idx="83">
                  <c:v>0.26724546526700965</c:v>
                </c:pt>
                <c:pt idx="84">
                  <c:v>0.27694426539100964</c:v>
                </c:pt>
                <c:pt idx="85">
                  <c:v>0.2870569850148646</c:v>
                </c:pt>
                <c:pt idx="86">
                  <c:v>0.2976110196383927</c:v>
                </c:pt>
                <c:pt idx="87">
                  <c:v>0.30863746223490512</c:v>
                </c:pt>
                <c:pt idx="88">
                  <c:v>0.32017149216705354</c:v>
                </c:pt>
                <c:pt idx="89">
                  <c:v>0.33225284637181485</c:v>
                </c:pt>
                <c:pt idx="90">
                  <c:v>0.3449263868546244</c:v>
                </c:pt>
                <c:pt idx="91">
                  <c:v>0.35824278223124578</c:v>
                </c:pt>
                <c:pt idx="92">
                  <c:v>0.37225932572685244</c:v>
                </c:pt>
                <c:pt idx="93">
                  <c:v>0.38704091799263463</c:v>
                </c:pt>
                <c:pt idx="94">
                  <c:v>0.40266125075083281</c:v>
                </c:pt>
                <c:pt idx="95">
                  <c:v>0.41920423720551186</c:v>
                </c:pt>
                <c:pt idx="96">
                  <c:v>0.43676574815549057</c:v>
                </c:pt>
                <c:pt idx="97">
                  <c:v>0.45545572993045158</c:v>
                </c:pt>
                <c:pt idx="98">
                  <c:v>0.47540080321161182</c:v>
                </c:pt>
                <c:pt idx="99">
                  <c:v>0.49674747273539821</c:v>
                </c:pt>
                <c:pt idx="100">
                  <c:v>0.51966612004927737</c:v>
                </c:pt>
                <c:pt idx="101">
                  <c:v>0.5443560096298049</c:v>
                </c:pt>
                <c:pt idx="102">
                  <c:v>0.57105161981169528</c:v>
                </c:pt>
                <c:pt idx="103">
                  <c:v>0.60003072469710617</c:v>
                </c:pt>
                <c:pt idx="104">
                  <c:v>0.63162481771425671</c:v>
                </c:pt>
                <c:pt idx="105">
                  <c:v>0.66623270699985571</c:v>
                </c:pt>
                <c:pt idx="106">
                  <c:v>0.70433846732673766</c:v>
                </c:pt>
                <c:pt idx="107">
                  <c:v>0.74653546775412472</c:v>
                </c:pt>
                <c:pt idx="108">
                  <c:v>0.79355901604695411</c:v>
                </c:pt>
                <c:pt idx="109">
                  <c:v>0.84633145284853106</c:v>
                </c:pt>
                <c:pt idx="110">
                  <c:v>0.90602560960578304</c:v>
                </c:pt>
                <c:pt idx="111">
                  <c:v>0.97415598882598253</c:v>
                </c:pt>
                <c:pt idx="112">
                  <c:v>1.0527129040805601</c:v>
                </c:pt>
                <c:pt idx="113">
                  <c:v>1.1443652045590473</c:v>
                </c:pt>
                <c:pt idx="114">
                  <c:v>1.2527763046348175</c:v>
                </c:pt>
                <c:pt idx="115">
                  <c:v>1.3831149878253486</c:v>
                </c:pt>
                <c:pt idx="116">
                  <c:v>1.5429170656805404</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numCache>
            </c:numRef>
          </c:yVal>
          <c:smooth val="1"/>
          <c:extLst>
            <c:ext xmlns:c16="http://schemas.microsoft.com/office/drawing/2014/chart" uri="{C3380CC4-5D6E-409C-BE32-E72D297353CC}">
              <c16:uniqueId val="{00000008-61F0-7342-B978-2A30CEEF6918}"/>
            </c:ext>
          </c:extLst>
        </c:ser>
        <c:ser>
          <c:idx val="11"/>
          <c:order val="6"/>
          <c:tx>
            <c:v>9500A</c:v>
          </c:tx>
          <c:spPr>
            <a:ln w="12700">
              <a:solidFill>
                <a:schemeClr val="tx1">
                  <a:lumMod val="65000"/>
                  <a:lumOff val="35000"/>
                </a:schemeClr>
              </a:solidFill>
            </a:ln>
          </c:spPr>
          <c:marker>
            <c:symbol val="none"/>
          </c:marker>
          <c:xVal>
            <c:numRef>
              <c:f>AtmDisp!$P$6:$P$166</c:f>
              <c:numCache>
                <c:formatCode>0.00</c:formatCode>
                <c:ptCount val="161"/>
                <c:pt idx="0">
                  <c:v>-1</c:v>
                </c:pt>
                <c:pt idx="1">
                  <c:v>-0.9</c:v>
                </c:pt>
                <c:pt idx="2">
                  <c:v>-0.8</c:v>
                </c:pt>
                <c:pt idx="3">
                  <c:v>-0.70000000000000007</c:v>
                </c:pt>
                <c:pt idx="4">
                  <c:v>-0.60000000000000009</c:v>
                </c:pt>
                <c:pt idx="5">
                  <c:v>-0.50000000000000011</c:v>
                </c:pt>
                <c:pt idx="6">
                  <c:v>-0.40000000000000013</c:v>
                </c:pt>
                <c:pt idx="7">
                  <c:v>-0.30000000000000016</c:v>
                </c:pt>
                <c:pt idx="8">
                  <c:v>-0.20000000000000015</c:v>
                </c:pt>
                <c:pt idx="9">
                  <c:v>-0.10000000000000014</c:v>
                </c:pt>
                <c:pt idx="10">
                  <c:v>-1.3877787807814457E-16</c:v>
                </c:pt>
                <c:pt idx="11">
                  <c:v>9.9999999999999867E-2</c:v>
                </c:pt>
                <c:pt idx="12">
                  <c:v>0.19999999999999987</c:v>
                </c:pt>
                <c:pt idx="13">
                  <c:v>0.29999999999999988</c:v>
                </c:pt>
                <c:pt idx="14">
                  <c:v>0.39999999999999991</c:v>
                </c:pt>
                <c:pt idx="15">
                  <c:v>0.49999999999999989</c:v>
                </c:pt>
                <c:pt idx="16">
                  <c:v>0.59999999999999987</c:v>
                </c:pt>
                <c:pt idx="17">
                  <c:v>0.69999999999999984</c:v>
                </c:pt>
                <c:pt idx="18">
                  <c:v>0.79999999999999982</c:v>
                </c:pt>
                <c:pt idx="19">
                  <c:v>0.8999999999999998</c:v>
                </c:pt>
                <c:pt idx="20">
                  <c:v>0.99999999999999978</c:v>
                </c:pt>
                <c:pt idx="21">
                  <c:v>1.0999999999999999</c:v>
                </c:pt>
                <c:pt idx="22">
                  <c:v>1.2</c:v>
                </c:pt>
                <c:pt idx="23">
                  <c:v>1.3</c:v>
                </c:pt>
                <c:pt idx="24">
                  <c:v>1.4000000000000001</c:v>
                </c:pt>
                <c:pt idx="25">
                  <c:v>1.5000000000000002</c:v>
                </c:pt>
                <c:pt idx="26">
                  <c:v>1.6000000000000003</c:v>
                </c:pt>
                <c:pt idx="27">
                  <c:v>1.7000000000000004</c:v>
                </c:pt>
                <c:pt idx="28">
                  <c:v>1.8000000000000005</c:v>
                </c:pt>
                <c:pt idx="29">
                  <c:v>1.9000000000000006</c:v>
                </c:pt>
                <c:pt idx="30">
                  <c:v>2.0000000000000004</c:v>
                </c:pt>
                <c:pt idx="31">
                  <c:v>2.1000000000000005</c:v>
                </c:pt>
                <c:pt idx="32">
                  <c:v>2.2000000000000006</c:v>
                </c:pt>
                <c:pt idx="33">
                  <c:v>2.3000000000000007</c:v>
                </c:pt>
                <c:pt idx="34">
                  <c:v>2.4000000000000008</c:v>
                </c:pt>
                <c:pt idx="35">
                  <c:v>2.5000000000000009</c:v>
                </c:pt>
                <c:pt idx="36">
                  <c:v>2.600000000000001</c:v>
                </c:pt>
                <c:pt idx="37">
                  <c:v>2.7000000000000011</c:v>
                </c:pt>
                <c:pt idx="38">
                  <c:v>2.8000000000000012</c:v>
                </c:pt>
                <c:pt idx="39">
                  <c:v>2.9000000000000012</c:v>
                </c:pt>
                <c:pt idx="40">
                  <c:v>3.0000000000000013</c:v>
                </c:pt>
                <c:pt idx="41">
                  <c:v>3.1000000000000014</c:v>
                </c:pt>
                <c:pt idx="42">
                  <c:v>3.2000000000000015</c:v>
                </c:pt>
                <c:pt idx="43">
                  <c:v>3.3000000000000016</c:v>
                </c:pt>
                <c:pt idx="44">
                  <c:v>3.4000000000000017</c:v>
                </c:pt>
                <c:pt idx="45">
                  <c:v>3.5000000000000018</c:v>
                </c:pt>
                <c:pt idx="46">
                  <c:v>3.6000000000000019</c:v>
                </c:pt>
                <c:pt idx="47">
                  <c:v>3.700000000000002</c:v>
                </c:pt>
                <c:pt idx="48">
                  <c:v>3.800000000000002</c:v>
                </c:pt>
                <c:pt idx="49">
                  <c:v>3.9000000000000021</c:v>
                </c:pt>
                <c:pt idx="50">
                  <c:v>4.0000000000000018</c:v>
                </c:pt>
                <c:pt idx="51">
                  <c:v>4.1000000000000014</c:v>
                </c:pt>
                <c:pt idx="52">
                  <c:v>4.2000000000000011</c:v>
                </c:pt>
                <c:pt idx="53">
                  <c:v>4.3000000000000007</c:v>
                </c:pt>
                <c:pt idx="54">
                  <c:v>4.4000000000000004</c:v>
                </c:pt>
                <c:pt idx="55">
                  <c:v>4.5</c:v>
                </c:pt>
                <c:pt idx="56">
                  <c:v>4.5999999999999996</c:v>
                </c:pt>
                <c:pt idx="57">
                  <c:v>4.6999999999999993</c:v>
                </c:pt>
                <c:pt idx="58">
                  <c:v>4.7999999999999989</c:v>
                </c:pt>
                <c:pt idx="59">
                  <c:v>4.8999999999999986</c:v>
                </c:pt>
                <c:pt idx="60">
                  <c:v>4.9999999999999982</c:v>
                </c:pt>
                <c:pt idx="61">
                  <c:v>5.0999999999999979</c:v>
                </c:pt>
                <c:pt idx="62">
                  <c:v>5.1999999999999975</c:v>
                </c:pt>
                <c:pt idx="63">
                  <c:v>5.2999999999999972</c:v>
                </c:pt>
                <c:pt idx="64">
                  <c:v>5.3999999999999968</c:v>
                </c:pt>
                <c:pt idx="65">
                  <c:v>5.4999999999999964</c:v>
                </c:pt>
                <c:pt idx="66">
                  <c:v>5.5999999999999961</c:v>
                </c:pt>
                <c:pt idx="67">
                  <c:v>5.6999999999999957</c:v>
                </c:pt>
                <c:pt idx="68">
                  <c:v>5.7999999999999954</c:v>
                </c:pt>
                <c:pt idx="69">
                  <c:v>5.899999999999995</c:v>
                </c:pt>
                <c:pt idx="70">
                  <c:v>5.9999999999999947</c:v>
                </c:pt>
                <c:pt idx="71">
                  <c:v>6.0999999999999943</c:v>
                </c:pt>
                <c:pt idx="72">
                  <c:v>6.199999999999994</c:v>
                </c:pt>
                <c:pt idx="73">
                  <c:v>6.2999999999999936</c:v>
                </c:pt>
                <c:pt idx="74">
                  <c:v>6.3999999999999932</c:v>
                </c:pt>
                <c:pt idx="75">
                  <c:v>6.4999999999999929</c:v>
                </c:pt>
                <c:pt idx="76">
                  <c:v>6.5999999999999925</c:v>
                </c:pt>
                <c:pt idx="77">
                  <c:v>6.6999999999999922</c:v>
                </c:pt>
                <c:pt idx="78">
                  <c:v>6.7999999999999918</c:v>
                </c:pt>
                <c:pt idx="79">
                  <c:v>6.8999999999999915</c:v>
                </c:pt>
                <c:pt idx="80">
                  <c:v>6.9999999999999911</c:v>
                </c:pt>
                <c:pt idx="81">
                  <c:v>7.0999999999999908</c:v>
                </c:pt>
                <c:pt idx="82">
                  <c:v>7.1999999999999904</c:v>
                </c:pt>
                <c:pt idx="83">
                  <c:v>7.2999999999999901</c:v>
                </c:pt>
                <c:pt idx="84">
                  <c:v>7.3999999999999897</c:v>
                </c:pt>
                <c:pt idx="85">
                  <c:v>7.4999999999999893</c:v>
                </c:pt>
                <c:pt idx="86">
                  <c:v>7.599999999999989</c:v>
                </c:pt>
                <c:pt idx="87">
                  <c:v>7.6999999999999886</c:v>
                </c:pt>
                <c:pt idx="88">
                  <c:v>7.7999999999999883</c:v>
                </c:pt>
                <c:pt idx="89">
                  <c:v>7.8999999999999879</c:v>
                </c:pt>
                <c:pt idx="90">
                  <c:v>7.9999999999999876</c:v>
                </c:pt>
                <c:pt idx="91">
                  <c:v>8.0999999999999872</c:v>
                </c:pt>
                <c:pt idx="92">
                  <c:v>8.1999999999999869</c:v>
                </c:pt>
                <c:pt idx="93">
                  <c:v>8.2999999999999865</c:v>
                </c:pt>
                <c:pt idx="94">
                  <c:v>8.3999999999999861</c:v>
                </c:pt>
                <c:pt idx="95">
                  <c:v>8.4999999999999858</c:v>
                </c:pt>
                <c:pt idx="96">
                  <c:v>8.5999999999999854</c:v>
                </c:pt>
                <c:pt idx="97">
                  <c:v>8.6999999999999851</c:v>
                </c:pt>
                <c:pt idx="98">
                  <c:v>8.7999999999999847</c:v>
                </c:pt>
                <c:pt idx="99">
                  <c:v>8.8999999999999844</c:v>
                </c:pt>
                <c:pt idx="100">
                  <c:v>8.999999999999984</c:v>
                </c:pt>
                <c:pt idx="101">
                  <c:v>9.0999999999999837</c:v>
                </c:pt>
                <c:pt idx="102">
                  <c:v>9.1999999999999833</c:v>
                </c:pt>
                <c:pt idx="103">
                  <c:v>9.2999999999999829</c:v>
                </c:pt>
                <c:pt idx="104">
                  <c:v>9.3999999999999826</c:v>
                </c:pt>
                <c:pt idx="105">
                  <c:v>9.4999999999999822</c:v>
                </c:pt>
                <c:pt idx="106">
                  <c:v>9.5999999999999819</c:v>
                </c:pt>
                <c:pt idx="107">
                  <c:v>9.6999999999999815</c:v>
                </c:pt>
                <c:pt idx="108">
                  <c:v>9.7999999999999812</c:v>
                </c:pt>
                <c:pt idx="109">
                  <c:v>9.8999999999999808</c:v>
                </c:pt>
                <c:pt idx="110">
                  <c:v>9.9999999999999805</c:v>
                </c:pt>
                <c:pt idx="111">
                  <c:v>10.09999999999998</c:v>
                </c:pt>
                <c:pt idx="112">
                  <c:v>10.19999999999998</c:v>
                </c:pt>
                <c:pt idx="113">
                  <c:v>10.299999999999979</c:v>
                </c:pt>
                <c:pt idx="114">
                  <c:v>10.399999999999979</c:v>
                </c:pt>
                <c:pt idx="115">
                  <c:v>10.499999999999979</c:v>
                </c:pt>
                <c:pt idx="116">
                  <c:v>10.599999999999978</c:v>
                </c:pt>
                <c:pt idx="117">
                  <c:v>10.699999999999978</c:v>
                </c:pt>
                <c:pt idx="118">
                  <c:v>10.799999999999978</c:v>
                </c:pt>
                <c:pt idx="119">
                  <c:v>10.899999999999977</c:v>
                </c:pt>
                <c:pt idx="120">
                  <c:v>10.999999999999977</c:v>
                </c:pt>
                <c:pt idx="121">
                  <c:v>11.099999999999977</c:v>
                </c:pt>
                <c:pt idx="122">
                  <c:v>11.199999999999976</c:v>
                </c:pt>
                <c:pt idx="123">
                  <c:v>11.299999999999976</c:v>
                </c:pt>
                <c:pt idx="124">
                  <c:v>11.399999999999975</c:v>
                </c:pt>
                <c:pt idx="125">
                  <c:v>11.499999999999975</c:v>
                </c:pt>
                <c:pt idx="126">
                  <c:v>11.599999999999975</c:v>
                </c:pt>
                <c:pt idx="127">
                  <c:v>11.699999999999974</c:v>
                </c:pt>
                <c:pt idx="128">
                  <c:v>11.799999999999974</c:v>
                </c:pt>
                <c:pt idx="129">
                  <c:v>11.899999999999974</c:v>
                </c:pt>
                <c:pt idx="130">
                  <c:v>11.999999999999973</c:v>
                </c:pt>
                <c:pt idx="131">
                  <c:v>12.099999999999973</c:v>
                </c:pt>
                <c:pt idx="132">
                  <c:v>12.199999999999973</c:v>
                </c:pt>
                <c:pt idx="133">
                  <c:v>12.299999999999972</c:v>
                </c:pt>
                <c:pt idx="134">
                  <c:v>12.399999999999972</c:v>
                </c:pt>
                <c:pt idx="135">
                  <c:v>12.499999999999972</c:v>
                </c:pt>
                <c:pt idx="136">
                  <c:v>12.599999999999971</c:v>
                </c:pt>
                <c:pt idx="137">
                  <c:v>12.699999999999971</c:v>
                </c:pt>
                <c:pt idx="138">
                  <c:v>12.799999999999971</c:v>
                </c:pt>
                <c:pt idx="139">
                  <c:v>12.89999999999997</c:v>
                </c:pt>
                <c:pt idx="140">
                  <c:v>12.99999999999997</c:v>
                </c:pt>
                <c:pt idx="141">
                  <c:v>13.099999999999969</c:v>
                </c:pt>
                <c:pt idx="142">
                  <c:v>13.199999999999969</c:v>
                </c:pt>
                <c:pt idx="143">
                  <c:v>13.299999999999969</c:v>
                </c:pt>
                <c:pt idx="144">
                  <c:v>13.399999999999968</c:v>
                </c:pt>
                <c:pt idx="145">
                  <c:v>13.499999999999968</c:v>
                </c:pt>
                <c:pt idx="146">
                  <c:v>13.599999999999968</c:v>
                </c:pt>
                <c:pt idx="147">
                  <c:v>13.699999999999967</c:v>
                </c:pt>
                <c:pt idx="148">
                  <c:v>13.799999999999967</c:v>
                </c:pt>
                <c:pt idx="149">
                  <c:v>13.899999999999967</c:v>
                </c:pt>
                <c:pt idx="150">
                  <c:v>13.999999999999966</c:v>
                </c:pt>
                <c:pt idx="151">
                  <c:v>14.099999999999966</c:v>
                </c:pt>
                <c:pt idx="152">
                  <c:v>14.199999999999966</c:v>
                </c:pt>
                <c:pt idx="153">
                  <c:v>14.299999999999965</c:v>
                </c:pt>
                <c:pt idx="154">
                  <c:v>14.399999999999965</c:v>
                </c:pt>
                <c:pt idx="155">
                  <c:v>14.499999999999964</c:v>
                </c:pt>
                <c:pt idx="156">
                  <c:v>14.599999999999964</c:v>
                </c:pt>
                <c:pt idx="157">
                  <c:v>14.699999999999964</c:v>
                </c:pt>
                <c:pt idx="158">
                  <c:v>14.799999999999963</c:v>
                </c:pt>
                <c:pt idx="159">
                  <c:v>14.899999999999963</c:v>
                </c:pt>
                <c:pt idx="160">
                  <c:v>14.999999999999963</c:v>
                </c:pt>
              </c:numCache>
            </c:numRef>
          </c:xVal>
          <c:yVal>
            <c:numRef>
              <c:f>AtmDisp!$AC$6:$AC$166</c:f>
              <c:numCache>
                <c:formatCode>General</c:formatCode>
                <c:ptCount val="161"/>
                <c:pt idx="0">
                  <c:v>#N/A</c:v>
                </c:pt>
                <c:pt idx="1">
                  <c:v>1.197213318863722</c:v>
                </c:pt>
                <c:pt idx="2">
                  <c:v>1.0762852237062037</c:v>
                </c:pt>
                <c:pt idx="3">
                  <c:v>0.97711915594553955</c:v>
                </c:pt>
                <c:pt idx="4">
                  <c:v>0.8942679622956482</c:v>
                </c:pt>
                <c:pt idx="5">
                  <c:v>0.82396168120881141</c:v>
                </c:pt>
                <c:pt idx="6">
                  <c:v>0.76350819769655354</c:v>
                </c:pt>
                <c:pt idx="7">
                  <c:v>0.71093376629870242</c:v>
                </c:pt>
                <c:pt idx="8">
                  <c:v>0.66475840701548328</c:v>
                </c:pt>
                <c:pt idx="9">
                  <c:v>0.62385061198022407</c:v>
                </c:pt>
                <c:pt idx="10">
                  <c:v>0.58733050605480563</c:v>
                </c:pt>
                <c:pt idx="11">
                  <c:v>0.55450360240720542</c:v>
                </c:pt>
                <c:pt idx="12">
                  <c:v>0.52481444060562277</c:v>
                </c:pt>
                <c:pt idx="13">
                  <c:v>0.49781347728954883</c:v>
                </c:pt>
                <c:pt idx="14">
                  <c:v>0.47313301127007401</c:v>
                </c:pt>
                <c:pt idx="15">
                  <c:v>0.45046939263105645</c:v>
                </c:pt>
                <c:pt idx="16">
                  <c:v>0.42956968254586281</c:v>
                </c:pt>
                <c:pt idx="17">
                  <c:v>0.41022151739346424</c:v>
                </c:pt>
                <c:pt idx="18">
                  <c:v>0.39224531442130417</c:v>
                </c:pt>
                <c:pt idx="19">
                  <c:v>0.37548821194517412</c:v>
                </c:pt>
                <c:pt idx="20">
                  <c:v>0.35981931059846195</c:v>
                </c:pt>
                <c:pt idx="21">
                  <c:v>0.34512590180551872</c:v>
                </c:pt>
                <c:pt idx="22">
                  <c:v>0.33131045341588483</c:v>
                </c:pt>
                <c:pt idx="23">
                  <c:v>0.31828818188293506</c:v>
                </c:pt>
                <c:pt idx="24">
                  <c:v>0.30598508310423511</c:v>
                </c:pt>
                <c:pt idx="25">
                  <c:v>0.29433632512921148</c:v>
                </c:pt>
                <c:pt idx="26">
                  <c:v>0.28328492881069856</c:v>
                </c:pt>
                <c:pt idx="27">
                  <c:v>0.27278067948125628</c:v>
                </c:pt>
                <c:pt idx="28">
                  <c:v>0.26277922550543942</c:v>
                </c:pt>
                <c:pt idx="29">
                  <c:v>0.25324132924283083</c:v>
                </c:pt>
                <c:pt idx="30">
                  <c:v>0.24413224336898567</c:v>
                </c:pt>
                <c:pt idx="31">
                  <c:v>0.23542119122784624</c:v>
                </c:pt>
                <c:pt idx="32">
                  <c:v>0.22708093435376908</c:v>
                </c:pt>
                <c:pt idx="33">
                  <c:v>0.21908741381367636</c:v>
                </c:pt>
                <c:pt idx="34">
                  <c:v>0.21141945480703625</c:v>
                </c:pt>
                <c:pt idx="35">
                  <c:v>0.20405852618982989</c:v>
                </c:pt>
                <c:pt idx="36">
                  <c:v>0.19698854837891402</c:v>
                </c:pt>
                <c:pt idx="37">
                  <c:v>0.19019574452956617</c:v>
                </c:pt>
                <c:pt idx="38">
                  <c:v>0.18366853101523165</c:v>
                </c:pt>
                <c:pt idx="39">
                  <c:v>0.17739744410015448</c:v>
                </c:pt>
                <c:pt idx="40">
                  <c:v>0.17137510027963865</c:v>
                </c:pt>
                <c:pt idx="41">
                  <c:v>0.16559618803458628</c:v>
                </c:pt>
                <c:pt idx="42">
                  <c:v>0.16005748863559641</c:v>
                </c:pt>
                <c:pt idx="43">
                  <c:v>0.15475792302363264</c:v>
                </c:pt>
                <c:pt idx="44">
                  <c:v>0.14969862052820476</c:v>
                </c:pt>
                <c:pt idx="45">
                  <c:v>0.14488300305357396</c:v>
                </c:pt>
                <c:pt idx="46">
                  <c:v>0.14031687513271107</c:v>
                </c:pt>
                <c:pt idx="47">
                  <c:v>0.13600850569817746</c:v>
                </c:pt>
                <c:pt idx="48">
                  <c:v>0.13196868144217483</c:v>
                </c:pt>
                <c:pt idx="49">
                  <c:v>0.12821070441263516</c:v>
                </c:pt>
                <c:pt idx="50">
                  <c:v>0.12475029874401261</c:v>
                </c:pt>
                <c:pt idx="51">
                  <c:v>0.12160538475881152</c:v>
                </c:pt>
                <c:pt idx="52">
                  <c:v>0.11879567589196269</c:v>
                </c:pt>
                <c:pt idx="53">
                  <c:v>0.11634205898462616</c:v>
                </c:pt>
                <c:pt idx="54">
                  <c:v>0.11426573601400293</c:v>
                </c:pt>
                <c:pt idx="55">
                  <c:v>0.11258713861242053</c:v>
                </c:pt>
                <c:pt idx="56">
                  <c:v>0.11132467505078886</c:v>
                </c:pt>
                <c:pt idx="57">
                  <c:v>0.11049342490657915</c:v>
                </c:pt>
                <c:pt idx="58">
                  <c:v>0.11010394359848071</c:v>
                </c:pt>
                <c:pt idx="59">
                  <c:v>0.11016135729148721</c:v>
                </c:pt>
                <c:pt idx="60">
                  <c:v>0.1106649029162001</c:v>
                </c:pt>
                <c:pt idx="61">
                  <c:v>0.11160799748933516</c:v>
                </c:pt>
                <c:pt idx="62">
                  <c:v>0.11297882381711419</c:v>
                </c:pt>
                <c:pt idx="63">
                  <c:v>0.11476132672211778</c:v>
                </c:pt>
                <c:pt idx="64">
                  <c:v>0.11693645386466289</c:v>
                </c:pt>
                <c:pt idx="65">
                  <c:v>0.11948346158318912</c:v>
                </c:pt>
                <c:pt idx="66">
                  <c:v>0.12238113369457124</c:v>
                </c:pt>
                <c:pt idx="67">
                  <c:v>0.1256088122224201</c:v>
                </c:pt>
                <c:pt idx="68">
                  <c:v>0.12914719392237381</c:v>
                </c:pt>
                <c:pt idx="69">
                  <c:v>0.13297889135731306</c:v>
                </c:pt>
                <c:pt idx="70">
                  <c:v>0.13708878636657004</c:v>
                </c:pt>
                <c:pt idx="71">
                  <c:v>0.14146421769576345</c:v>
                </c:pt>
                <c:pt idx="72">
                  <c:v>0.14609504719441258</c:v>
                </c:pt>
                <c:pt idx="73">
                  <c:v>0.15097364487166526</c:v>
                </c:pt>
                <c:pt idx="74">
                  <c:v>0.15609482594405072</c:v>
                </c:pt>
                <c:pt idx="75">
                  <c:v>0.16145576528310129</c:v>
                </c:pt>
                <c:pt idx="76">
                  <c:v>0.16705590772376264</c:v>
                </c:pt>
                <c:pt idx="77">
                  <c:v>0.17289688708180198</c:v>
                </c:pt>
                <c:pt idx="78">
                  <c:v>0.17898246253346339</c:v>
                </c:pt>
                <c:pt idx="79">
                  <c:v>0.18531847808494784</c:v>
                </c:pt>
                <c:pt idx="80">
                  <c:v>0.19191284897246036</c:v>
                </c:pt>
                <c:pt idx="81">
                  <c:v>0.19877557775428811</c:v>
                </c:pt>
                <c:pt idx="82">
                  <c:v>0.20591880238899499</c:v>
                </c:pt>
                <c:pt idx="83">
                  <c:v>0.21335687858983018</c:v>
                </c:pt>
                <c:pt idx="84">
                  <c:v>0.22110649910266092</c:v>
                </c:pt>
                <c:pt idx="85">
                  <c:v>0.22918685321199073</c:v>
                </c:pt>
                <c:pt idx="86">
                  <c:v>0.2376198307108493</c:v>
                </c:pt>
                <c:pt idx="87">
                  <c:v>0.24643027578003185</c:v>
                </c:pt>
                <c:pt idx="88">
                  <c:v>0.25564629774305758</c:v>
                </c:pt>
                <c:pt idx="89">
                  <c:v>0.26529964755653718</c:v>
                </c:pt>
                <c:pt idx="90">
                  <c:v>0.27542617125432267</c:v>
                </c:pt>
                <c:pt idx="91">
                  <c:v>0.28606635451908191</c:v>
                </c:pt>
                <c:pt idx="92">
                  <c:v>0.29726597628711338</c:v>
                </c:pt>
                <c:pt idx="93">
                  <c:v>0.30907689404710958</c:v>
                </c:pt>
                <c:pt idx="94">
                  <c:v>0.32155798960661364</c:v>
                </c:pt>
                <c:pt idx="95">
                  <c:v>0.33477631203140734</c:v>
                </c:pt>
                <c:pt idx="96">
                  <c:v>0.34880846484972183</c:v>
                </c:pt>
                <c:pt idx="97">
                  <c:v>0.36374229834416183</c:v>
                </c:pt>
                <c:pt idx="98">
                  <c:v>0.379678986084237</c:v>
                </c:pt>
                <c:pt idx="99">
                  <c:v>0.39673558957200195</c:v>
                </c:pt>
                <c:pt idx="100">
                  <c:v>0.41504824856890876</c:v>
                </c:pt>
                <c:pt idx="101">
                  <c:v>0.43477618112824779</c:v>
                </c:pt>
                <c:pt idx="102">
                  <c:v>0.4561067421897318</c:v>
                </c:pt>
                <c:pt idx="103">
                  <c:v>0.47926188125767988</c:v>
                </c:pt>
                <c:pt idx="104">
                  <c:v>0.50450647112443259</c:v>
                </c:pt>
                <c:pt idx="105">
                  <c:v>0.53215917097230203</c:v>
                </c:pt>
                <c:pt idx="106">
                  <c:v>0.56260677048056207</c:v>
                </c:pt>
                <c:pt idx="107">
                  <c:v>0.59632338860972689</c:v>
                </c:pt>
                <c:pt idx="108">
                  <c:v>0.63389655743237738</c:v>
                </c:pt>
                <c:pt idx="109">
                  <c:v>0.67606325367530351</c:v>
                </c:pt>
                <c:pt idx="110">
                  <c:v>0.72376060342864001</c:v>
                </c:pt>
                <c:pt idx="111">
                  <c:v>0.77819873779592907</c:v>
                </c:pt>
                <c:pt idx="112">
                  <c:v>0.84096797461885475</c:v>
                </c:pt>
                <c:pt idx="113">
                  <c:v>0.91420080123197556</c:v>
                </c:pt>
                <c:pt idx="114">
                  <c:v>1.000824391183764</c:v>
                </c:pt>
                <c:pt idx="115">
                  <c:v>1.1049687513061277</c:v>
                </c:pt>
                <c:pt idx="116">
                  <c:v>1.2326552119720287</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numCache>
            </c:numRef>
          </c:yVal>
          <c:smooth val="1"/>
          <c:extLst>
            <c:ext xmlns:c16="http://schemas.microsoft.com/office/drawing/2014/chart" uri="{C3380CC4-5D6E-409C-BE32-E72D297353CC}">
              <c16:uniqueId val="{00000009-61F0-7342-B978-2A30CEEF6918}"/>
            </c:ext>
          </c:extLst>
        </c:ser>
        <c:ser>
          <c:idx val="19"/>
          <c:order val="7"/>
          <c:tx>
            <c:v>"Now"</c:v>
          </c:tx>
          <c:spPr>
            <a:ln w="19050" cap="rnd">
              <a:noFill/>
              <a:round/>
            </a:ln>
            <a:effectLst/>
          </c:spPr>
          <c:marker>
            <c:symbol val="circle"/>
            <c:size val="7"/>
            <c:spPr>
              <a:noFill/>
              <a:ln w="15875">
                <a:solidFill>
                  <a:srgbClr val="C00000"/>
                </a:solidFill>
              </a:ln>
              <a:effectLst/>
            </c:spPr>
          </c:marker>
          <c:dLbls>
            <c:dLbl>
              <c:idx val="0"/>
              <c:tx>
                <c:rich>
                  <a:bodyPr/>
                  <a:lstStyle/>
                  <a:p>
                    <a:fld id="{839FDBE3-2DFE-7344-9C75-02624DAE0BC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1F0-7342-B978-2A30CEEF691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AtmDisp!$P$5</c:f>
              <c:numCache>
                <c:formatCode>0.00</c:formatCode>
                <c:ptCount val="1"/>
                <c:pt idx="0">
                  <c:v>7.5</c:v>
                </c:pt>
              </c:numCache>
            </c:numRef>
          </c:xVal>
          <c:yVal>
            <c:numLit>
              <c:formatCode>General</c:formatCode>
              <c:ptCount val="1"/>
              <c:pt idx="0">
                <c:v>-2.8</c:v>
              </c:pt>
            </c:numLit>
          </c:yVal>
          <c:smooth val="1"/>
          <c:extLst>
            <c:ext xmlns:c15="http://schemas.microsoft.com/office/drawing/2012/chart" uri="{02D57815-91ED-43cb-92C2-25804820EDAC}">
              <c15:datalabelsRange>
                <c15:f>MODS!$BQ$45</c15:f>
                <c15:dlblRangeCache>
                  <c:ptCount val="1"/>
                  <c:pt idx="0">
                    <c:v>Now</c:v>
                  </c:pt>
                </c15:dlblRangeCache>
              </c15:datalabelsRange>
            </c:ext>
            <c:ext xmlns:c16="http://schemas.microsoft.com/office/drawing/2014/chart" uri="{C3380CC4-5D6E-409C-BE32-E72D297353CC}">
              <c16:uniqueId val="{0000000D-61F0-7342-B978-2A30CEEF6918}"/>
            </c:ext>
          </c:extLst>
        </c:ser>
        <c:ser>
          <c:idx val="34"/>
          <c:order val="8"/>
          <c:tx>
            <c:v>Refrac at UT</c:v>
          </c:tx>
          <c:spPr>
            <a:ln w="19050" cap="rnd">
              <a:noFill/>
              <a:round/>
            </a:ln>
            <a:effectLst/>
          </c:spPr>
          <c:marker>
            <c:symbol val="circle"/>
            <c:size val="5"/>
            <c:spPr>
              <a:solidFill>
                <a:schemeClr val="lt1"/>
              </a:solidFill>
              <a:ln w="9525">
                <a:solidFill>
                  <a:schemeClr val="accent5">
                    <a:lumMod val="50000"/>
                  </a:schemeClr>
                </a:solidFill>
              </a:ln>
              <a:effectLst/>
            </c:spPr>
          </c:marker>
          <c:dPt>
            <c:idx val="0"/>
            <c:marker>
              <c:spPr>
                <a:solidFill>
                  <a:schemeClr val="lt1"/>
                </a:solidFill>
                <a:ln w="9525">
                  <a:solidFill>
                    <a:schemeClr val="tx1"/>
                  </a:solidFill>
                </a:ln>
                <a:effectLst/>
              </c:spPr>
            </c:marker>
            <c:bubble3D val="0"/>
            <c:extLst>
              <c:ext xmlns:c16="http://schemas.microsoft.com/office/drawing/2014/chart" uri="{C3380CC4-5D6E-409C-BE32-E72D297353CC}">
                <c16:uniqueId val="{00000160-61F0-7342-B978-2A30CEEF6918}"/>
              </c:ext>
            </c:extLst>
          </c:dPt>
          <c:xVal>
            <c:numRef>
              <c:f>AtmDisp!$AE$5:$AE$11</c:f>
              <c:numCache>
                <c:formatCode>0.00</c:formatCode>
                <c:ptCount val="7"/>
                <c:pt idx="0">
                  <c:v>7.5</c:v>
                </c:pt>
                <c:pt idx="1">
                  <c:v>7.5</c:v>
                </c:pt>
                <c:pt idx="2">
                  <c:v>7.5</c:v>
                </c:pt>
                <c:pt idx="3">
                  <c:v>7.5</c:v>
                </c:pt>
                <c:pt idx="4">
                  <c:v>7.5</c:v>
                </c:pt>
                <c:pt idx="5">
                  <c:v>7.5</c:v>
                </c:pt>
                <c:pt idx="6">
                  <c:v>7.5</c:v>
                </c:pt>
              </c:numCache>
            </c:numRef>
          </c:xVal>
          <c:yVal>
            <c:numRef>
              <c:f>AtmDisp!$AH$5:$AH$11</c:f>
              <c:numCache>
                <c:formatCode>0.00</c:formatCode>
                <c:ptCount val="7"/>
                <c:pt idx="0">
                  <c:v>1.8178947167134065</c:v>
                </c:pt>
                <c:pt idx="1">
                  <c:v>1.0617287269924423</c:v>
                </c:pt>
                <c:pt idx="2">
                  <c:v>0.69886489012533382</c:v>
                </c:pt>
                <c:pt idx="3">
                  <c:v>0.49566861204376367</c:v>
                </c:pt>
                <c:pt idx="4">
                  <c:v>0.37013596535562554</c:v>
                </c:pt>
                <c:pt idx="5">
                  <c:v>0.28705698501486565</c:v>
                </c:pt>
                <c:pt idx="6">
                  <c:v>0.22918685321199156</c:v>
                </c:pt>
              </c:numCache>
            </c:numRef>
          </c:yVal>
          <c:smooth val="1"/>
          <c:extLst>
            <c:ext xmlns:c16="http://schemas.microsoft.com/office/drawing/2014/chart" uri="{C3380CC4-5D6E-409C-BE32-E72D297353CC}">
              <c16:uniqueId val="{0000000E-61F0-7342-B978-2A30CEEF6918}"/>
            </c:ext>
          </c:extLst>
        </c:ser>
        <c:ser>
          <c:idx val="35"/>
          <c:order val="9"/>
          <c:tx>
            <c:v>Local Time</c:v>
          </c:tx>
          <c:marker>
            <c:symbol val="none"/>
          </c:marker>
          <c:xVal>
            <c:numRef>
              <c:f>Calcs!$S$4:$S$16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Calcs!$T$4:$T$16</c:f>
              <c:numCache>
                <c:formatCode>General</c:formatCode>
                <c:ptCount val="13"/>
                <c:pt idx="0">
                  <c:v>88</c:v>
                </c:pt>
                <c:pt idx="1">
                  <c:v>88</c:v>
                </c:pt>
                <c:pt idx="2">
                  <c:v>88</c:v>
                </c:pt>
                <c:pt idx="3">
                  <c:v>88</c:v>
                </c:pt>
                <c:pt idx="4">
                  <c:v>88</c:v>
                </c:pt>
                <c:pt idx="5">
                  <c:v>88</c:v>
                </c:pt>
                <c:pt idx="6">
                  <c:v>88</c:v>
                </c:pt>
                <c:pt idx="7">
                  <c:v>88</c:v>
                </c:pt>
                <c:pt idx="8">
                  <c:v>88</c:v>
                </c:pt>
                <c:pt idx="9">
                  <c:v>88</c:v>
                </c:pt>
                <c:pt idx="10">
                  <c:v>88</c:v>
                </c:pt>
                <c:pt idx="11">
                  <c:v>88</c:v>
                </c:pt>
                <c:pt idx="12">
                  <c:v>88</c:v>
                </c:pt>
              </c:numCache>
            </c:numRef>
          </c:yVal>
          <c:smooth val="1"/>
          <c:extLst>
            <c:ext xmlns:c16="http://schemas.microsoft.com/office/drawing/2014/chart" uri="{C3380CC4-5D6E-409C-BE32-E72D297353CC}">
              <c16:uniqueId val="{0000001C-61F0-7342-B978-2A30CEEF6918}"/>
            </c:ext>
          </c:extLst>
        </c:ser>
        <c:ser>
          <c:idx val="37"/>
          <c:order val="10"/>
          <c:tx>
            <c:v>Date</c:v>
          </c:tx>
          <c:marker>
            <c:symbol val="none"/>
          </c:marker>
          <c:dLbls>
            <c:dLbl>
              <c:idx val="0"/>
              <c:tx>
                <c:rich>
                  <a:bodyPr/>
                  <a:lstStyle/>
                  <a:p>
                    <a:fld id="{3FD1E27C-FADD-6A49-AA65-98CD196B47A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D58-FB4F-9D5E-3C580BC1AD11}"/>
                </c:ext>
              </c:extLst>
            </c:dLbl>
            <c:spPr>
              <a:noFill/>
              <a:ln>
                <a:noFill/>
              </a:ln>
              <a:effectLst/>
            </c:spPr>
            <c:txPr>
              <a:bodyPr wrap="square" lIns="38100" tIns="19050" rIns="38100" bIns="19050" anchor="ctr">
                <a:spAutoFit/>
              </a:bodyPr>
              <a:lstStyle/>
              <a:p>
                <a:pPr>
                  <a:defRPr sz="1600">
                    <a:solidFill>
                      <a:schemeClr val="tx1">
                        <a:lumMod val="65000"/>
                        <a:lumOff val="35000"/>
                      </a:schemeClr>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AtmDisp!$AK$49</c:f>
              <c:numCache>
                <c:formatCode>General</c:formatCode>
                <c:ptCount val="1"/>
                <c:pt idx="0">
                  <c:v>2</c:v>
                </c:pt>
              </c:numCache>
            </c:numRef>
          </c:xVal>
          <c:yVal>
            <c:numRef>
              <c:f>AtmDisp!$AL$49</c:f>
              <c:numCache>
                <c:formatCode>General</c:formatCode>
                <c:ptCount val="1"/>
                <c:pt idx="0">
                  <c:v>3</c:v>
                </c:pt>
              </c:numCache>
            </c:numRef>
          </c:yVal>
          <c:smooth val="1"/>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1E-61F0-7342-B978-2A30CEEF6918}"/>
            </c:ext>
          </c:extLst>
        </c:ser>
        <c:ser>
          <c:idx val="0"/>
          <c:order val="11"/>
          <c:tx>
            <c:v>UT-Transit</c:v>
          </c:tx>
          <c:spPr>
            <a:ln w="19050">
              <a:solidFill>
                <a:schemeClr val="bg1">
                  <a:lumMod val="65000"/>
                </a:schemeClr>
              </a:solidFill>
              <a:prstDash val="dash"/>
            </a:ln>
          </c:spPr>
          <c:marker>
            <c:symbol val="none"/>
          </c:marker>
          <c:dLbls>
            <c:dLbl>
              <c:idx val="0"/>
              <c:tx>
                <c:rich>
                  <a:bodyPr/>
                  <a:lstStyle/>
                  <a:p>
                    <a:fld id="{730E6EBE-111F-1D4F-B3EA-F672D450382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2-61F0-7342-B978-2A30CEEF6918}"/>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163-61F0-7342-B978-2A30CEEF6918}"/>
                </c:ext>
              </c:extLst>
            </c:dLbl>
            <c:spPr>
              <a:noFill/>
              <a:ln>
                <a:noFill/>
              </a:ln>
              <a:effectLst/>
            </c:spPr>
            <c:txPr>
              <a:bodyPr wrap="square" lIns="38100" tIns="19050" rIns="38100" bIns="19050" anchor="ctr">
                <a:spAutoFit/>
              </a:bodyPr>
              <a:lstStyle/>
              <a:p>
                <a:pPr>
                  <a:defRPr sz="1200">
                    <a:solidFill>
                      <a:schemeClr val="bg1">
                        <a:lumMod val="50000"/>
                      </a:schemeClr>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AtmDisp!$AE$51:$AE$52</c:f>
              <c:numCache>
                <c:formatCode>0.00</c:formatCode>
                <c:ptCount val="2"/>
                <c:pt idx="0">
                  <c:v>4.8371712790863279</c:v>
                </c:pt>
                <c:pt idx="1">
                  <c:v>4.8371712790863279</c:v>
                </c:pt>
              </c:numCache>
            </c:numRef>
          </c:xVal>
          <c:yVal>
            <c:numRef>
              <c:f>AtmDisp!$AG$51:$AG$52</c:f>
              <c:numCache>
                <c:formatCode>General</c:formatCode>
                <c:ptCount val="2"/>
                <c:pt idx="0">
                  <c:v>-3</c:v>
                </c:pt>
                <c:pt idx="1">
                  <c:v>3</c:v>
                </c:pt>
              </c:numCache>
            </c:numRef>
          </c:yVal>
          <c:smooth val="1"/>
          <c:extLst>
            <c:ext xmlns:c15="http://schemas.microsoft.com/office/drawing/2012/chart" uri="{02D57815-91ED-43cb-92C2-25804820EDAC}">
              <c15:datalabelsRange>
                <c15:f>AtmDisp!$AE$50</c15:f>
                <c15:dlblRangeCache>
                  <c:ptCount val="1"/>
                  <c:pt idx="0">
                    <c:v>Transit</c:v>
                  </c:pt>
                </c15:dlblRangeCache>
              </c15:datalabelsRange>
            </c:ext>
            <c:ext xmlns:c16="http://schemas.microsoft.com/office/drawing/2014/chart" uri="{C3380CC4-5D6E-409C-BE32-E72D297353CC}">
              <c16:uniqueId val="{00000161-61F0-7342-B978-2A30CEEF6918}"/>
            </c:ext>
          </c:extLst>
        </c:ser>
        <c:ser>
          <c:idx val="1"/>
          <c:order val="12"/>
          <c:tx>
            <c:v>Wav labels</c:v>
          </c:tx>
          <c:spPr>
            <a:ln>
              <a:noFill/>
            </a:ln>
          </c:spPr>
          <c:marker>
            <c:symbol val="none"/>
          </c:marker>
          <c:dLbls>
            <c:dLbl>
              <c:idx val="0"/>
              <c:tx>
                <c:rich>
                  <a:bodyPr wrap="square" lIns="38100" tIns="19050" rIns="38100" bIns="19050" anchor="ctr">
                    <a:spAutoFit/>
                  </a:bodyPr>
                  <a:lstStyle/>
                  <a:p>
                    <a:pPr>
                      <a:defRPr>
                        <a:solidFill>
                          <a:srgbClr val="7030A0"/>
                        </a:solidFill>
                      </a:defRPr>
                    </a:pPr>
                    <a:fld id="{0AFC1563-332F-714C-8A15-77A34EC9448E}" type="CELLRANGE">
                      <a:rPr lang="en-US"/>
                      <a:pPr>
                        <a:defRPr>
                          <a:solidFill>
                            <a:srgbClr val="7030A0"/>
                          </a:solidFill>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5-61F0-7342-B978-2A30CEEF6918}"/>
                </c:ext>
              </c:extLst>
            </c:dLbl>
            <c:dLbl>
              <c:idx val="1"/>
              <c:tx>
                <c:rich>
                  <a:bodyPr wrap="square" lIns="38100" tIns="19050" rIns="38100" bIns="19050" anchor="ctr">
                    <a:spAutoFit/>
                  </a:bodyPr>
                  <a:lstStyle/>
                  <a:p>
                    <a:pPr>
                      <a:defRPr>
                        <a:solidFill>
                          <a:srgbClr val="0070C0"/>
                        </a:solidFill>
                      </a:defRPr>
                    </a:pPr>
                    <a:fld id="{6619AEDF-B0F0-724E-B0E8-063F23F53B85}" type="CELLRANGE">
                      <a:rPr lang="en-US"/>
                      <a:pPr>
                        <a:defRPr>
                          <a:solidFill>
                            <a:srgbClr val="0070C0"/>
                          </a:solidFill>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6-61F0-7342-B978-2A30CEEF6918}"/>
                </c:ext>
              </c:extLst>
            </c:dLbl>
            <c:dLbl>
              <c:idx val="2"/>
              <c:tx>
                <c:rich>
                  <a:bodyPr wrap="square" lIns="38100" tIns="19050" rIns="38100" bIns="19050" anchor="ctr">
                    <a:spAutoFit/>
                  </a:bodyPr>
                  <a:lstStyle/>
                  <a:p>
                    <a:pPr>
                      <a:defRPr>
                        <a:solidFill>
                          <a:srgbClr val="00B050"/>
                        </a:solidFill>
                      </a:defRPr>
                    </a:pPr>
                    <a:fld id="{B33499B1-0273-684C-A079-4759B36FBA85}" type="CELLRANGE">
                      <a:rPr lang="en-US"/>
                      <a:pPr>
                        <a:defRPr>
                          <a:solidFill>
                            <a:srgbClr val="00B050"/>
                          </a:solidFill>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7-61F0-7342-B978-2A30CEEF6918}"/>
                </c:ext>
              </c:extLst>
            </c:dLbl>
            <c:dLbl>
              <c:idx val="3"/>
              <c:tx>
                <c:rich>
                  <a:bodyPr wrap="square" lIns="38100" tIns="19050" rIns="38100" bIns="19050" anchor="ctr">
                    <a:spAutoFit/>
                  </a:bodyPr>
                  <a:lstStyle/>
                  <a:p>
                    <a:pPr>
                      <a:defRPr>
                        <a:solidFill>
                          <a:srgbClr val="D7A211"/>
                        </a:solidFill>
                      </a:defRPr>
                    </a:pPr>
                    <a:fld id="{1A0691B2-7D0C-8B41-8622-7A46013106E8}" type="CELLRANGE">
                      <a:rPr lang="en-US"/>
                      <a:pPr>
                        <a:defRPr>
                          <a:solidFill>
                            <a:srgbClr val="D7A211"/>
                          </a:solidFill>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8-61F0-7342-B978-2A30CEEF6918}"/>
                </c:ext>
              </c:extLst>
            </c:dLbl>
            <c:dLbl>
              <c:idx val="4"/>
              <c:tx>
                <c:rich>
                  <a:bodyPr wrap="square" lIns="38100" tIns="19050" rIns="38100" bIns="19050" anchor="ctr">
                    <a:spAutoFit/>
                  </a:bodyPr>
                  <a:lstStyle/>
                  <a:p>
                    <a:pPr>
                      <a:defRPr>
                        <a:solidFill>
                          <a:srgbClr val="FF0000"/>
                        </a:solidFill>
                      </a:defRPr>
                    </a:pPr>
                    <a:fld id="{071840DC-14C2-EF41-A500-A4CFA93A306B}" type="CELLRANGE">
                      <a:rPr lang="en-US"/>
                      <a:pPr>
                        <a:defRPr>
                          <a:solidFill>
                            <a:srgbClr val="FF0000"/>
                          </a:solidFill>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9-61F0-7342-B978-2A30CEEF6918}"/>
                </c:ext>
              </c:extLst>
            </c:dLbl>
            <c:dLbl>
              <c:idx val="5"/>
              <c:tx>
                <c:rich>
                  <a:bodyPr wrap="square" lIns="38100" tIns="19050" rIns="38100" bIns="19050" anchor="ctr">
                    <a:spAutoFit/>
                  </a:bodyPr>
                  <a:lstStyle/>
                  <a:p>
                    <a:pPr>
                      <a:defRPr>
                        <a:solidFill>
                          <a:srgbClr val="C00000"/>
                        </a:solidFill>
                      </a:defRPr>
                    </a:pPr>
                    <a:fld id="{CDF78186-0755-044A-BC9C-557CA8469911}" type="CELLRANGE">
                      <a:rPr lang="en-US"/>
                      <a:pPr>
                        <a:defRPr>
                          <a:solidFill>
                            <a:srgbClr val="C00000"/>
                          </a:solidFill>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A-61F0-7342-B978-2A30CEEF6918}"/>
                </c:ext>
              </c:extLst>
            </c:dLbl>
            <c:dLbl>
              <c:idx val="6"/>
              <c:tx>
                <c:rich>
                  <a:bodyPr/>
                  <a:lstStyle/>
                  <a:p>
                    <a:fld id="{710CC4E0-5FBD-BD41-BE4C-51F41FA1A35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16B-61F0-7342-B978-2A30CEEF6918}"/>
                </c:ext>
              </c:extLst>
            </c:dLbl>
            <c:spPr>
              <a:solidFill>
                <a:schemeClr val="lt1"/>
              </a:solid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AtmDisp!$AK$32:$AK$38</c:f>
              <c:numCache>
                <c:formatCode>General</c:formatCode>
                <c:ptCount val="7"/>
                <c:pt idx="0">
                  <c:v>2</c:v>
                </c:pt>
                <c:pt idx="1">
                  <c:v>2</c:v>
                </c:pt>
                <c:pt idx="2">
                  <c:v>2</c:v>
                </c:pt>
                <c:pt idx="3">
                  <c:v>2</c:v>
                </c:pt>
                <c:pt idx="4">
                  <c:v>2</c:v>
                </c:pt>
                <c:pt idx="5">
                  <c:v>2</c:v>
                </c:pt>
                <c:pt idx="6">
                  <c:v>2</c:v>
                </c:pt>
              </c:numCache>
            </c:numRef>
          </c:xVal>
          <c:yVal>
            <c:numRef>
              <c:f>AtmDisp!$AL$32:$AL$38</c:f>
              <c:numCache>
                <c:formatCode>0.00</c:formatCode>
                <c:ptCount val="7"/>
                <c:pt idx="0">
                  <c:v>1</c:v>
                </c:pt>
                <c:pt idx="1">
                  <c:v>0.75</c:v>
                </c:pt>
                <c:pt idx="2">
                  <c:v>0.5</c:v>
                </c:pt>
                <c:pt idx="3">
                  <c:v>0.25</c:v>
                </c:pt>
                <c:pt idx="4">
                  <c:v>0</c:v>
                </c:pt>
                <c:pt idx="5">
                  <c:v>-0.25</c:v>
                </c:pt>
                <c:pt idx="6">
                  <c:v>-0.5</c:v>
                </c:pt>
              </c:numCache>
            </c:numRef>
          </c:yVal>
          <c:smooth val="1"/>
          <c:extLst>
            <c:ext xmlns:c15="http://schemas.microsoft.com/office/drawing/2012/chart" uri="{02D57815-91ED-43cb-92C2-25804820EDAC}">
              <c15:datalabelsRange>
                <c15:f>AtmDisp!$AJ$32:$AJ$38</c15:f>
                <c15:dlblRangeCache>
                  <c:ptCount val="7"/>
                  <c:pt idx="0">
                    <c:v>3500</c:v>
                  </c:pt>
                  <c:pt idx="1">
                    <c:v>4500</c:v>
                  </c:pt>
                  <c:pt idx="2">
                    <c:v>5500</c:v>
                  </c:pt>
                  <c:pt idx="3">
                    <c:v>6500</c:v>
                  </c:pt>
                  <c:pt idx="4">
                    <c:v>7500</c:v>
                  </c:pt>
                  <c:pt idx="5">
                    <c:v>8500</c:v>
                  </c:pt>
                  <c:pt idx="6">
                    <c:v>9500</c:v>
                  </c:pt>
                </c15:dlblRangeCache>
              </c15:datalabelsRange>
            </c:ext>
            <c:ext xmlns:c16="http://schemas.microsoft.com/office/drawing/2014/chart" uri="{C3380CC4-5D6E-409C-BE32-E72D297353CC}">
              <c16:uniqueId val="{00000164-61F0-7342-B978-2A30CEEF6918}"/>
            </c:ext>
          </c:extLst>
        </c:ser>
        <c:ser>
          <c:idx val="2"/>
          <c:order val="13"/>
          <c:tx>
            <c:v>Name</c:v>
          </c:tx>
          <c:marker>
            <c:symbol val="none"/>
          </c:marker>
          <c:dLbls>
            <c:dLbl>
              <c:idx val="0"/>
              <c:tx>
                <c:rich>
                  <a:bodyPr/>
                  <a:lstStyle/>
                  <a:p>
                    <a:fld id="{C2D0783E-E69A-9B46-A05E-7EDEE013C5A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D58-FB4F-9D5E-3C580BC1AD11}"/>
                </c:ext>
              </c:extLst>
            </c:dLbl>
            <c:spPr>
              <a:noFill/>
              <a:ln>
                <a:noFill/>
              </a:ln>
              <a:effectLst/>
            </c:spPr>
            <c:txPr>
              <a:bodyPr wrap="square" lIns="38100" tIns="19050" rIns="38100" bIns="19050" anchor="ctr">
                <a:spAutoFit/>
              </a:bodyPr>
              <a:lstStyle/>
              <a:p>
                <a:pPr>
                  <a:defRPr sz="1600">
                    <a:solidFill>
                      <a:schemeClr val="tx1">
                        <a:lumMod val="65000"/>
                        <a:lumOff val="35000"/>
                      </a:schemeClr>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AtmDisp!$AK$48</c:f>
              <c:numCache>
                <c:formatCode>General</c:formatCode>
                <c:ptCount val="1"/>
                <c:pt idx="0">
                  <c:v>12</c:v>
                </c:pt>
              </c:numCache>
            </c:numRef>
          </c:xVal>
          <c:yVal>
            <c:numRef>
              <c:f>AtmDisp!$AL$48</c:f>
              <c:numCache>
                <c:formatCode>General</c:formatCode>
                <c:ptCount val="1"/>
                <c:pt idx="0">
                  <c:v>3</c:v>
                </c:pt>
              </c:numCache>
            </c:numRef>
          </c:yVal>
          <c:smooth val="1"/>
          <c:extLst>
            <c:ext xmlns:c15="http://schemas.microsoft.com/office/drawing/2012/chart" uri="{02D57815-91ED-43cb-92C2-25804820EDAC}">
              <c15:datalabelsRange>
                <c15:f>AtmDisp!$B$3</c15:f>
                <c15:dlblRangeCache>
                  <c:ptCount val="1"/>
                  <c:pt idx="0">
                    <c:v>4115-dw2</c:v>
                  </c:pt>
                </c15:dlblRangeCache>
              </c15:datalabelsRange>
            </c:ext>
            <c:ext xmlns:c16="http://schemas.microsoft.com/office/drawing/2014/chart" uri="{C3380CC4-5D6E-409C-BE32-E72D297353CC}">
              <c16:uniqueId val="{00000001-2D58-FB4F-9D5E-3C580BC1AD11}"/>
            </c:ext>
          </c:extLst>
        </c:ser>
        <c:dLbls>
          <c:showLegendKey val="0"/>
          <c:showVal val="0"/>
          <c:showCatName val="0"/>
          <c:showSerName val="0"/>
          <c:showPercent val="0"/>
          <c:showBubbleSize val="0"/>
        </c:dLbls>
        <c:axId val="241103296"/>
        <c:axId val="580761936"/>
      </c:scatterChart>
      <c:valAx>
        <c:axId val="241103296"/>
        <c:scaling>
          <c:orientation val="minMax"/>
          <c:max val="1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UT (hr)</a:t>
                </a:r>
              </a:p>
            </c:rich>
          </c:tx>
          <c:overlay val="0"/>
          <c:spPr>
            <a:noFill/>
            <a:ln>
              <a:noFill/>
            </a:ln>
            <a:effectLst/>
          </c:sp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0761936"/>
        <c:crosses val="autoZero"/>
        <c:crossBetween val="midCat"/>
        <c:majorUnit val="1"/>
        <c:minorUnit val="0.5"/>
      </c:valAx>
      <c:valAx>
        <c:axId val="580761936"/>
        <c:scaling>
          <c:orientation val="minMax"/>
          <c:max val="3"/>
          <c:min val="-3"/>
        </c:scaling>
        <c:delete val="0"/>
        <c:axPos val="l"/>
        <c:majorGridlines>
          <c:spPr>
            <a:ln w="9525" cap="flat" cmpd="sng" algn="ctr">
              <a:solidFill>
                <a:schemeClr val="tx1">
                  <a:lumMod val="15000"/>
                  <a:lumOff val="85000"/>
                </a:schemeClr>
              </a:solidFill>
              <a:round/>
            </a:ln>
            <a:effectLst/>
          </c:spPr>
        </c:majorGridlines>
        <c:minorGridlines>
          <c:spPr>
            <a:ln>
              <a:solidFill>
                <a:schemeClr val="bg1">
                  <a:lumMod val="85000"/>
                  <a:alpha val="42000"/>
                </a:schemeClr>
              </a:solidFill>
            </a:ln>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Dispersion (arcsec) relative to Guide wav</a:t>
                </a:r>
              </a:p>
            </c:rich>
          </c:tx>
          <c:overlay val="0"/>
          <c:spPr>
            <a:noFill/>
            <a:ln>
              <a:noFill/>
            </a:ln>
            <a:effectLst/>
          </c:spPr>
        </c:title>
        <c:numFmt formatCode="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1103296"/>
        <c:crosses val="autoZero"/>
        <c:crossBetween val="midCat"/>
        <c:minorUnit val="0.5"/>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100000">
          <a:schemeClr val="accent1">
            <a:lumMod val="30000"/>
            <a:lumOff val="70000"/>
          </a:schemeClr>
        </a:gs>
      </a:gsLst>
      <a:lin ang="54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Refraction along/across the slit</a:t>
            </a:r>
          </a:p>
        </c:rich>
      </c:tx>
      <c:layout>
        <c:manualLayout>
          <c:xMode val="edge"/>
          <c:yMode val="edge"/>
          <c:x val="0.26259747912406645"/>
          <c:y val="3.083383687238021E-2"/>
        </c:manualLayout>
      </c:layout>
      <c:overlay val="0"/>
      <c:spPr>
        <a:noFill/>
        <a:ln>
          <a:noFill/>
        </a:ln>
        <a:effectLst/>
      </c:spPr>
    </c:title>
    <c:autoTitleDeleted val="0"/>
    <c:plotArea>
      <c:layout>
        <c:manualLayout>
          <c:layoutTarget val="inner"/>
          <c:xMode val="edge"/>
          <c:yMode val="edge"/>
          <c:x val="0.15294650420214928"/>
          <c:y val="0.10758645942143233"/>
          <c:w val="0.78953540325162364"/>
          <c:h val="0.74825866149258535"/>
        </c:manualLayout>
      </c:layout>
      <c:scatterChart>
        <c:scatterStyle val="lineMarker"/>
        <c:varyColors val="0"/>
        <c:ser>
          <c:idx val="37"/>
          <c:order val="0"/>
          <c:tx>
            <c:v>Slit-high</c:v>
          </c:tx>
          <c:spPr>
            <a:ln w="25400">
              <a:solidFill>
                <a:schemeClr val="tx1"/>
              </a:solidFill>
            </a:ln>
          </c:spPr>
          <c:marker>
            <c:symbol val="none"/>
          </c:marker>
          <c:xVal>
            <c:numRef>
              <c:f>AtmDisp!$AE$31:$AE$32</c:f>
              <c:numCache>
                <c:formatCode>General</c:formatCode>
                <c:ptCount val="2"/>
                <c:pt idx="0">
                  <c:v>-3</c:v>
                </c:pt>
                <c:pt idx="1">
                  <c:v>3</c:v>
                </c:pt>
              </c:numCache>
            </c:numRef>
          </c:xVal>
          <c:yVal>
            <c:numRef>
              <c:f>AtmDisp!$AF$31:$AF$32</c:f>
              <c:numCache>
                <c:formatCode>General</c:formatCode>
                <c:ptCount val="2"/>
                <c:pt idx="0">
                  <c:v>1.2</c:v>
                </c:pt>
                <c:pt idx="1">
                  <c:v>1.2</c:v>
                </c:pt>
              </c:numCache>
            </c:numRef>
          </c:yVal>
          <c:smooth val="0"/>
          <c:extLst>
            <c:ext xmlns:c16="http://schemas.microsoft.com/office/drawing/2014/chart" uri="{C3380CC4-5D6E-409C-BE32-E72D297353CC}">
              <c16:uniqueId val="{0000014D-CCBA-CE48-83E7-E4BD00983585}"/>
            </c:ext>
          </c:extLst>
        </c:ser>
        <c:ser>
          <c:idx val="0"/>
          <c:order val="1"/>
          <c:tx>
            <c:v>Slit-low</c:v>
          </c:tx>
          <c:spPr>
            <a:ln w="25400">
              <a:solidFill>
                <a:schemeClr val="tx1"/>
              </a:solidFill>
            </a:ln>
          </c:spPr>
          <c:marker>
            <c:symbol val="none"/>
          </c:marker>
          <c:xVal>
            <c:numRef>
              <c:f>AtmDisp!$AE$31:$AE$32</c:f>
              <c:numCache>
                <c:formatCode>General</c:formatCode>
                <c:ptCount val="2"/>
                <c:pt idx="0">
                  <c:v>-3</c:v>
                </c:pt>
                <c:pt idx="1">
                  <c:v>3</c:v>
                </c:pt>
              </c:numCache>
            </c:numRef>
          </c:xVal>
          <c:yVal>
            <c:numRef>
              <c:f>AtmDisp!$AF$33:$AF$34</c:f>
              <c:numCache>
                <c:formatCode>General</c:formatCode>
                <c:ptCount val="2"/>
                <c:pt idx="0">
                  <c:v>-1.2</c:v>
                </c:pt>
                <c:pt idx="1">
                  <c:v>-1.2</c:v>
                </c:pt>
              </c:numCache>
            </c:numRef>
          </c:yVal>
          <c:smooth val="0"/>
          <c:extLst>
            <c:ext xmlns:c16="http://schemas.microsoft.com/office/drawing/2014/chart" uri="{C3380CC4-5D6E-409C-BE32-E72D297353CC}">
              <c16:uniqueId val="{000001FE-CCBA-CE48-83E7-E4BD00983585}"/>
            </c:ext>
          </c:extLst>
        </c:ser>
        <c:ser>
          <c:idx val="1"/>
          <c:order val="2"/>
          <c:tx>
            <c:v>Refrac-slit</c:v>
          </c:tx>
          <c:spPr>
            <a:ln w="15875"/>
          </c:spPr>
          <c:marker>
            <c:symbol val="circle"/>
            <c:size val="5"/>
            <c:spPr>
              <a:solidFill>
                <a:schemeClr val="lt1"/>
              </a:solidFill>
              <a:ln>
                <a:solidFill>
                  <a:schemeClr val="tx1"/>
                </a:solidFill>
              </a:ln>
            </c:spPr>
          </c:marker>
          <c:dPt>
            <c:idx val="0"/>
            <c:marker>
              <c:spPr>
                <a:solidFill>
                  <a:schemeClr val="lt1"/>
                </a:solidFill>
                <a:ln>
                  <a:solidFill>
                    <a:srgbClr val="7030A0"/>
                  </a:solidFill>
                </a:ln>
              </c:spPr>
            </c:marker>
            <c:bubble3D val="0"/>
            <c:extLst>
              <c:ext xmlns:c16="http://schemas.microsoft.com/office/drawing/2014/chart" uri="{C3380CC4-5D6E-409C-BE32-E72D297353CC}">
                <c16:uniqueId val="{00000000-AE9B-2C40-A4CE-E3F870E27F81}"/>
              </c:ext>
            </c:extLst>
          </c:dPt>
          <c:dPt>
            <c:idx val="1"/>
            <c:marker>
              <c:spPr>
                <a:solidFill>
                  <a:schemeClr val="lt1"/>
                </a:solidFill>
                <a:ln>
                  <a:solidFill>
                    <a:srgbClr val="0070C0"/>
                  </a:solidFill>
                </a:ln>
              </c:spPr>
            </c:marker>
            <c:bubble3D val="0"/>
            <c:extLst>
              <c:ext xmlns:c16="http://schemas.microsoft.com/office/drawing/2014/chart" uri="{C3380CC4-5D6E-409C-BE32-E72D297353CC}">
                <c16:uniqueId val="{00000001-AE9B-2C40-A4CE-E3F870E27F81}"/>
              </c:ext>
            </c:extLst>
          </c:dPt>
          <c:dPt>
            <c:idx val="2"/>
            <c:marker>
              <c:spPr>
                <a:solidFill>
                  <a:schemeClr val="lt1"/>
                </a:solidFill>
                <a:ln>
                  <a:solidFill>
                    <a:srgbClr val="00B050"/>
                  </a:solidFill>
                </a:ln>
              </c:spPr>
            </c:marker>
            <c:bubble3D val="0"/>
            <c:extLst>
              <c:ext xmlns:c16="http://schemas.microsoft.com/office/drawing/2014/chart" uri="{C3380CC4-5D6E-409C-BE32-E72D297353CC}">
                <c16:uniqueId val="{00000002-AE9B-2C40-A4CE-E3F870E27F81}"/>
              </c:ext>
            </c:extLst>
          </c:dPt>
          <c:dPt>
            <c:idx val="3"/>
            <c:marker>
              <c:spPr>
                <a:solidFill>
                  <a:schemeClr val="lt1"/>
                </a:solidFill>
                <a:ln>
                  <a:solidFill>
                    <a:srgbClr val="FFC000"/>
                  </a:solidFill>
                </a:ln>
              </c:spPr>
            </c:marker>
            <c:bubble3D val="0"/>
            <c:extLst>
              <c:ext xmlns:c16="http://schemas.microsoft.com/office/drawing/2014/chart" uri="{C3380CC4-5D6E-409C-BE32-E72D297353CC}">
                <c16:uniqueId val="{00000003-AE9B-2C40-A4CE-E3F870E27F81}"/>
              </c:ext>
            </c:extLst>
          </c:dPt>
          <c:dPt>
            <c:idx val="4"/>
            <c:marker>
              <c:spPr>
                <a:solidFill>
                  <a:schemeClr val="lt1"/>
                </a:solidFill>
                <a:ln>
                  <a:solidFill>
                    <a:srgbClr val="FF0000"/>
                  </a:solidFill>
                </a:ln>
              </c:spPr>
            </c:marker>
            <c:bubble3D val="0"/>
            <c:extLst>
              <c:ext xmlns:c16="http://schemas.microsoft.com/office/drawing/2014/chart" uri="{C3380CC4-5D6E-409C-BE32-E72D297353CC}">
                <c16:uniqueId val="{00000004-AE9B-2C40-A4CE-E3F870E27F81}"/>
              </c:ext>
            </c:extLst>
          </c:dPt>
          <c:dPt>
            <c:idx val="5"/>
            <c:marker>
              <c:spPr>
                <a:solidFill>
                  <a:schemeClr val="lt1"/>
                </a:solidFill>
                <a:ln>
                  <a:solidFill>
                    <a:srgbClr val="C00000"/>
                  </a:solidFill>
                </a:ln>
              </c:spPr>
            </c:marker>
            <c:bubble3D val="0"/>
            <c:extLst>
              <c:ext xmlns:c16="http://schemas.microsoft.com/office/drawing/2014/chart" uri="{C3380CC4-5D6E-409C-BE32-E72D297353CC}">
                <c16:uniqueId val="{00000005-AE9B-2C40-A4CE-E3F870E27F81}"/>
              </c:ext>
            </c:extLst>
          </c:dPt>
          <c:xVal>
            <c:numRef>
              <c:f>AtmDisp!$AI$5:$AI$11</c:f>
              <c:numCache>
                <c:formatCode>0.00</c:formatCode>
                <c:ptCount val="7"/>
                <c:pt idx="0">
                  <c:v>1.0113603948341292</c:v>
                </c:pt>
                <c:pt idx="1">
                  <c:v>0.59067798297974716</c:v>
                </c:pt>
                <c:pt idx="2">
                  <c:v>0.38880374353620861</c:v>
                </c:pt>
                <c:pt idx="3">
                  <c:v>0.27575832559201841</c:v>
                </c:pt>
                <c:pt idx="4">
                  <c:v>0.205919986797229</c:v>
                </c:pt>
                <c:pt idx="5">
                  <c:v>0.15970015371924218</c:v>
                </c:pt>
                <c:pt idx="6">
                  <c:v>0.12750491226154625</c:v>
                </c:pt>
              </c:numCache>
            </c:numRef>
          </c:xVal>
          <c:yVal>
            <c:numRef>
              <c:f>AtmDisp!$AJ$5:$AJ$11</c:f>
              <c:numCache>
                <c:formatCode>0.00</c:formatCode>
                <c:ptCount val="7"/>
                <c:pt idx="0">
                  <c:v>1.510593046725514</c:v>
                </c:pt>
                <c:pt idx="1">
                  <c:v>0.88225133048580295</c:v>
                </c:pt>
                <c:pt idx="2">
                  <c:v>0.58072694415028225</c:v>
                </c:pt>
                <c:pt idx="3">
                  <c:v>0.41187949552275294</c:v>
                </c:pt>
                <c:pt idx="4">
                  <c:v>0.30756721523460506</c:v>
                </c:pt>
                <c:pt idx="5">
                  <c:v>0.23853212267507121</c:v>
                </c:pt>
                <c:pt idx="6">
                  <c:v>0.190444509068627</c:v>
                </c:pt>
              </c:numCache>
            </c:numRef>
          </c:yVal>
          <c:smooth val="0"/>
          <c:extLst>
            <c:ext xmlns:c16="http://schemas.microsoft.com/office/drawing/2014/chart" uri="{C3380CC4-5D6E-409C-BE32-E72D297353CC}">
              <c16:uniqueId val="{000001FF-CCBA-CE48-83E7-E4BD00983585}"/>
            </c:ext>
          </c:extLst>
        </c:ser>
        <c:ser>
          <c:idx val="2"/>
          <c:order val="3"/>
          <c:tx>
            <c:v>3500 seeing</c:v>
          </c:tx>
          <c:spPr>
            <a:ln w="19050">
              <a:solidFill>
                <a:srgbClr val="7030A0"/>
              </a:solidFill>
            </a:ln>
          </c:spPr>
          <c:marker>
            <c:symbol val="none"/>
          </c:marker>
          <c:xVal>
            <c:numRef>
              <c:f>AtmDisp!$AF$15:$AF$28</c:f>
              <c:numCache>
                <c:formatCode>0.00</c:formatCode>
                <c:ptCount val="14"/>
                <c:pt idx="0">
                  <c:v>1.5113603948341292</c:v>
                </c:pt>
                <c:pt idx="1">
                  <c:v>1.4443730967263486</c:v>
                </c:pt>
                <c:pt idx="2">
                  <c:v>1.2613603948341292</c:v>
                </c:pt>
                <c:pt idx="3">
                  <c:v>1.0113603948341292</c:v>
                </c:pt>
                <c:pt idx="4">
                  <c:v>0.76136039483412932</c:v>
                </c:pt>
                <c:pt idx="5">
                  <c:v>0.5783476929419098</c:v>
                </c:pt>
                <c:pt idx="6">
                  <c:v>0.51136039483412921</c:v>
                </c:pt>
                <c:pt idx="7">
                  <c:v>0.57834769294190991</c:v>
                </c:pt>
                <c:pt idx="8">
                  <c:v>0.76136039483412898</c:v>
                </c:pt>
                <c:pt idx="9">
                  <c:v>1.0113603948341292</c:v>
                </c:pt>
                <c:pt idx="10">
                  <c:v>1.2613603948341292</c:v>
                </c:pt>
                <c:pt idx="11">
                  <c:v>1.4443730967263484</c:v>
                </c:pt>
                <c:pt idx="12">
                  <c:v>1.5113603948341292</c:v>
                </c:pt>
                <c:pt idx="13">
                  <c:v>1.4443730967263486</c:v>
                </c:pt>
              </c:numCache>
            </c:numRef>
          </c:xVal>
          <c:yVal>
            <c:numRef>
              <c:f>AtmDisp!$AG$15:$AG$28</c:f>
              <c:numCache>
                <c:formatCode>0.00</c:formatCode>
                <c:ptCount val="14"/>
                <c:pt idx="0">
                  <c:v>1.510593046725514</c:v>
                </c:pt>
                <c:pt idx="1">
                  <c:v>1.760593046725514</c:v>
                </c:pt>
                <c:pt idx="2">
                  <c:v>1.9436057486177334</c:v>
                </c:pt>
                <c:pt idx="3">
                  <c:v>2.0105930467255142</c:v>
                </c:pt>
                <c:pt idx="4">
                  <c:v>1.9436057486177334</c:v>
                </c:pt>
                <c:pt idx="5">
                  <c:v>1.760593046725514</c:v>
                </c:pt>
                <c:pt idx="6">
                  <c:v>1.510593046725514</c:v>
                </c:pt>
                <c:pt idx="7">
                  <c:v>1.260593046725514</c:v>
                </c:pt>
                <c:pt idx="8">
                  <c:v>1.0775803448332948</c:v>
                </c:pt>
                <c:pt idx="9">
                  <c:v>1.010593046725514</c:v>
                </c:pt>
                <c:pt idx="10">
                  <c:v>1.0775803448332946</c:v>
                </c:pt>
                <c:pt idx="11">
                  <c:v>1.2605930467255138</c:v>
                </c:pt>
                <c:pt idx="12">
                  <c:v>1.5105930467255138</c:v>
                </c:pt>
                <c:pt idx="13">
                  <c:v>1.760593046725514</c:v>
                </c:pt>
              </c:numCache>
            </c:numRef>
          </c:yVal>
          <c:smooth val="1"/>
          <c:extLst>
            <c:ext xmlns:c16="http://schemas.microsoft.com/office/drawing/2014/chart" uri="{C3380CC4-5D6E-409C-BE32-E72D297353CC}">
              <c16:uniqueId val="{00000200-CCBA-CE48-83E7-E4BD00983585}"/>
            </c:ext>
          </c:extLst>
        </c:ser>
        <c:ser>
          <c:idx val="9"/>
          <c:order val="4"/>
          <c:tx>
            <c:v>4500 Seeing</c:v>
          </c:tx>
          <c:spPr>
            <a:ln w="19050">
              <a:solidFill>
                <a:srgbClr val="0070C0"/>
              </a:solidFill>
            </a:ln>
          </c:spPr>
          <c:marker>
            <c:symbol val="none"/>
          </c:marker>
          <c:xVal>
            <c:numRef>
              <c:f>AtmDisp!$AH$15:$AH$28</c:f>
              <c:numCache>
                <c:formatCode>0.00</c:formatCode>
                <c:ptCount val="14"/>
                <c:pt idx="0">
                  <c:v>1.0906779829797473</c:v>
                </c:pt>
                <c:pt idx="1">
                  <c:v>1.0236906848719665</c:v>
                </c:pt>
                <c:pt idx="2">
                  <c:v>0.84067798297974727</c:v>
                </c:pt>
                <c:pt idx="3">
                  <c:v>0.59067798297974716</c:v>
                </c:pt>
                <c:pt idx="4">
                  <c:v>0.34067798297974727</c:v>
                </c:pt>
                <c:pt idx="5">
                  <c:v>0.15766528108752781</c:v>
                </c:pt>
                <c:pt idx="6">
                  <c:v>9.0677982979747163E-2</c:v>
                </c:pt>
                <c:pt idx="7">
                  <c:v>0.15766528108752786</c:v>
                </c:pt>
                <c:pt idx="8">
                  <c:v>0.34067798297974694</c:v>
                </c:pt>
                <c:pt idx="9">
                  <c:v>0.59067798297974705</c:v>
                </c:pt>
                <c:pt idx="10">
                  <c:v>0.84067798297974727</c:v>
                </c:pt>
                <c:pt idx="11">
                  <c:v>1.0236906848719665</c:v>
                </c:pt>
                <c:pt idx="12">
                  <c:v>1.0906779829797473</c:v>
                </c:pt>
                <c:pt idx="13">
                  <c:v>1.0236906848719665</c:v>
                </c:pt>
              </c:numCache>
            </c:numRef>
          </c:xVal>
          <c:yVal>
            <c:numRef>
              <c:f>AtmDisp!$AI$15:$AI$28</c:f>
              <c:numCache>
                <c:formatCode>0.00</c:formatCode>
                <c:ptCount val="14"/>
                <c:pt idx="0">
                  <c:v>0.88225133048580295</c:v>
                </c:pt>
                <c:pt idx="1">
                  <c:v>1.1322513304858028</c:v>
                </c:pt>
                <c:pt idx="2">
                  <c:v>1.3152640323780223</c:v>
                </c:pt>
                <c:pt idx="3">
                  <c:v>1.3822513304858028</c:v>
                </c:pt>
                <c:pt idx="4">
                  <c:v>1.3152640323780223</c:v>
                </c:pt>
                <c:pt idx="5">
                  <c:v>1.1322513304858028</c:v>
                </c:pt>
                <c:pt idx="6">
                  <c:v>0.88225133048580306</c:v>
                </c:pt>
                <c:pt idx="7">
                  <c:v>0.63225133048580284</c:v>
                </c:pt>
                <c:pt idx="8">
                  <c:v>0.44923862859358377</c:v>
                </c:pt>
                <c:pt idx="9">
                  <c:v>0.38225133048580295</c:v>
                </c:pt>
                <c:pt idx="10">
                  <c:v>0.44923862859358366</c:v>
                </c:pt>
                <c:pt idx="11">
                  <c:v>0.63225133048580273</c:v>
                </c:pt>
                <c:pt idx="12">
                  <c:v>0.88225133048580284</c:v>
                </c:pt>
                <c:pt idx="13">
                  <c:v>1.1322513304858028</c:v>
                </c:pt>
              </c:numCache>
            </c:numRef>
          </c:yVal>
          <c:smooth val="1"/>
          <c:extLst>
            <c:ext xmlns:c16="http://schemas.microsoft.com/office/drawing/2014/chart" uri="{C3380CC4-5D6E-409C-BE32-E72D297353CC}">
              <c16:uniqueId val="{0000020D-CCBA-CE48-83E7-E4BD00983585}"/>
            </c:ext>
          </c:extLst>
        </c:ser>
        <c:ser>
          <c:idx val="5"/>
          <c:order val="5"/>
          <c:tx>
            <c:v>5500 Seeing</c:v>
          </c:tx>
          <c:spPr>
            <a:ln w="19050">
              <a:solidFill>
                <a:srgbClr val="00B050"/>
              </a:solidFill>
            </a:ln>
          </c:spPr>
          <c:marker>
            <c:symbol val="none"/>
          </c:marker>
          <c:xVal>
            <c:numRef>
              <c:f>AtmDisp!$AJ$15:$AJ$28</c:f>
              <c:numCache>
                <c:formatCode>0.00</c:formatCode>
                <c:ptCount val="14"/>
                <c:pt idx="0">
                  <c:v>0.88880374353620861</c:v>
                </c:pt>
                <c:pt idx="1">
                  <c:v>0.82181644542842802</c:v>
                </c:pt>
                <c:pt idx="2">
                  <c:v>0.63880374353620861</c:v>
                </c:pt>
                <c:pt idx="3">
                  <c:v>0.38880374353620867</c:v>
                </c:pt>
                <c:pt idx="4">
                  <c:v>0.13880374353620872</c:v>
                </c:pt>
                <c:pt idx="5">
                  <c:v>-4.4208958356010741E-2</c:v>
                </c:pt>
                <c:pt idx="6">
                  <c:v>-0.11119625646379139</c:v>
                </c:pt>
                <c:pt idx="7">
                  <c:v>-4.4208958356010686E-2</c:v>
                </c:pt>
                <c:pt idx="8">
                  <c:v>0.13880374353620839</c:v>
                </c:pt>
                <c:pt idx="9">
                  <c:v>0.3888037435362085</c:v>
                </c:pt>
                <c:pt idx="10">
                  <c:v>0.63880374353620861</c:v>
                </c:pt>
                <c:pt idx="11">
                  <c:v>0.8218164454284278</c:v>
                </c:pt>
                <c:pt idx="12">
                  <c:v>0.88880374353620861</c:v>
                </c:pt>
                <c:pt idx="13">
                  <c:v>0.82181644542842802</c:v>
                </c:pt>
              </c:numCache>
            </c:numRef>
          </c:xVal>
          <c:yVal>
            <c:numRef>
              <c:f>AtmDisp!$AK$15:$AK$28</c:f>
              <c:numCache>
                <c:formatCode>0.00</c:formatCode>
                <c:ptCount val="14"/>
                <c:pt idx="0">
                  <c:v>0.58072694415028225</c:v>
                </c:pt>
                <c:pt idx="1">
                  <c:v>0.83072694415028225</c:v>
                </c:pt>
                <c:pt idx="2">
                  <c:v>1.0137396460425014</c:v>
                </c:pt>
                <c:pt idx="3">
                  <c:v>1.0807269441502823</c:v>
                </c:pt>
                <c:pt idx="4">
                  <c:v>1.0137396460425017</c:v>
                </c:pt>
                <c:pt idx="5">
                  <c:v>0.83072694415028225</c:v>
                </c:pt>
                <c:pt idx="6">
                  <c:v>0.58072694415028236</c:v>
                </c:pt>
                <c:pt idx="7">
                  <c:v>0.3307269441502822</c:v>
                </c:pt>
                <c:pt idx="8">
                  <c:v>0.14771424225806307</c:v>
                </c:pt>
                <c:pt idx="9">
                  <c:v>8.0726944150282254E-2</c:v>
                </c:pt>
                <c:pt idx="10">
                  <c:v>0.14771424225806296</c:v>
                </c:pt>
                <c:pt idx="11">
                  <c:v>0.33072694415028203</c:v>
                </c:pt>
                <c:pt idx="12">
                  <c:v>0.58072694415028214</c:v>
                </c:pt>
                <c:pt idx="13">
                  <c:v>0.83072694415028225</c:v>
                </c:pt>
              </c:numCache>
            </c:numRef>
          </c:yVal>
          <c:smooth val="1"/>
          <c:extLst>
            <c:ext xmlns:c16="http://schemas.microsoft.com/office/drawing/2014/chart" uri="{C3380CC4-5D6E-409C-BE32-E72D297353CC}">
              <c16:uniqueId val="{00000207-CCBA-CE48-83E7-E4BD00983585}"/>
            </c:ext>
          </c:extLst>
        </c:ser>
        <c:ser>
          <c:idx val="6"/>
          <c:order val="6"/>
          <c:tx>
            <c:v>9500 Seeing</c:v>
          </c:tx>
          <c:spPr>
            <a:ln w="19050">
              <a:solidFill>
                <a:srgbClr val="C00000"/>
              </a:solidFill>
            </a:ln>
          </c:spPr>
          <c:marker>
            <c:symbol val="none"/>
          </c:marker>
          <c:xVal>
            <c:numRef>
              <c:f>AtmDisp!$AL$15:$AL$28</c:f>
              <c:numCache>
                <c:formatCode>0.00</c:formatCode>
                <c:ptCount val="14"/>
                <c:pt idx="0">
                  <c:v>0.62750491226154625</c:v>
                </c:pt>
                <c:pt idx="1">
                  <c:v>0.56051761415376555</c:v>
                </c:pt>
                <c:pt idx="2">
                  <c:v>0.37750491226154631</c:v>
                </c:pt>
                <c:pt idx="3">
                  <c:v>0.12750491226154628</c:v>
                </c:pt>
                <c:pt idx="4">
                  <c:v>-0.12249508773845363</c:v>
                </c:pt>
                <c:pt idx="5">
                  <c:v>-0.3055077896306731</c:v>
                </c:pt>
                <c:pt idx="6">
                  <c:v>-0.37249508773845375</c:v>
                </c:pt>
                <c:pt idx="7">
                  <c:v>-0.30550778963067304</c:v>
                </c:pt>
                <c:pt idx="8">
                  <c:v>-0.12249508773845397</c:v>
                </c:pt>
                <c:pt idx="9">
                  <c:v>0.12750491226154617</c:v>
                </c:pt>
                <c:pt idx="10">
                  <c:v>0.37750491226154631</c:v>
                </c:pt>
                <c:pt idx="11">
                  <c:v>0.56051761415376544</c:v>
                </c:pt>
                <c:pt idx="12">
                  <c:v>0.62750491226154625</c:v>
                </c:pt>
                <c:pt idx="13">
                  <c:v>0.56051761415376555</c:v>
                </c:pt>
              </c:numCache>
            </c:numRef>
          </c:xVal>
          <c:yVal>
            <c:numRef>
              <c:f>AtmDisp!$AM$15:$AM$28</c:f>
              <c:numCache>
                <c:formatCode>0.00</c:formatCode>
                <c:ptCount val="14"/>
                <c:pt idx="0">
                  <c:v>0.190444509068627</c:v>
                </c:pt>
                <c:pt idx="1">
                  <c:v>0.44044450906862698</c:v>
                </c:pt>
                <c:pt idx="2">
                  <c:v>0.62345721096084628</c:v>
                </c:pt>
                <c:pt idx="3">
                  <c:v>0.69044450906862698</c:v>
                </c:pt>
                <c:pt idx="4">
                  <c:v>0.62345721096084639</c:v>
                </c:pt>
                <c:pt idx="5">
                  <c:v>0.44044450906862698</c:v>
                </c:pt>
                <c:pt idx="6">
                  <c:v>0.19044450906862706</c:v>
                </c:pt>
                <c:pt idx="7">
                  <c:v>-5.9555490931373051E-2</c:v>
                </c:pt>
                <c:pt idx="8">
                  <c:v>-0.24256819282359218</c:v>
                </c:pt>
                <c:pt idx="9">
                  <c:v>-0.30955549093137302</c:v>
                </c:pt>
                <c:pt idx="10">
                  <c:v>-0.24256819282359229</c:v>
                </c:pt>
                <c:pt idx="11">
                  <c:v>-5.9555490931373217E-2</c:v>
                </c:pt>
                <c:pt idx="12">
                  <c:v>0.19044450906862689</c:v>
                </c:pt>
                <c:pt idx="13">
                  <c:v>0.44044450906862698</c:v>
                </c:pt>
              </c:numCache>
            </c:numRef>
          </c:yVal>
          <c:smooth val="1"/>
          <c:extLst>
            <c:ext xmlns:c16="http://schemas.microsoft.com/office/drawing/2014/chart" uri="{C3380CC4-5D6E-409C-BE32-E72D297353CC}">
              <c16:uniqueId val="{00000208-CCBA-CE48-83E7-E4BD00983585}"/>
            </c:ext>
          </c:extLst>
        </c:ser>
        <c:ser>
          <c:idx val="3"/>
          <c:order val="7"/>
          <c:tx>
            <c:v>North</c:v>
          </c:tx>
          <c:spPr>
            <a:ln w="19050">
              <a:solidFill>
                <a:srgbClr val="00B050"/>
              </a:solidFill>
              <a:headEnd type="none"/>
              <a:tailEnd type="stealth" w="lg" len="lg"/>
            </a:ln>
          </c:spPr>
          <c:marker>
            <c:symbol val="none"/>
          </c:marker>
          <c:xVal>
            <c:numRef>
              <c:f>AtmDisp!$AF$38:$AF$39</c:f>
              <c:numCache>
                <c:formatCode>0.0</c:formatCode>
                <c:ptCount val="2"/>
                <c:pt idx="0">
                  <c:v>1.9</c:v>
                </c:pt>
                <c:pt idx="1">
                  <c:v>2.8</c:v>
                </c:pt>
              </c:numCache>
            </c:numRef>
          </c:xVal>
          <c:yVal>
            <c:numRef>
              <c:f>AtmDisp!$AG$38:$AG$39</c:f>
              <c:numCache>
                <c:formatCode>0.0</c:formatCode>
                <c:ptCount val="2"/>
                <c:pt idx="0">
                  <c:v>1.9</c:v>
                </c:pt>
                <c:pt idx="1">
                  <c:v>1.9</c:v>
                </c:pt>
              </c:numCache>
            </c:numRef>
          </c:yVal>
          <c:smooth val="0"/>
          <c:extLst>
            <c:ext xmlns:c16="http://schemas.microsoft.com/office/drawing/2014/chart" uri="{C3380CC4-5D6E-409C-BE32-E72D297353CC}">
              <c16:uniqueId val="{00000201-CCBA-CE48-83E7-E4BD00983585}"/>
            </c:ext>
          </c:extLst>
        </c:ser>
        <c:ser>
          <c:idx val="4"/>
          <c:order val="8"/>
          <c:tx>
            <c:v>East</c:v>
          </c:tx>
          <c:spPr>
            <a:ln w="19050">
              <a:solidFill>
                <a:srgbClr val="00B050"/>
              </a:solidFill>
              <a:tailEnd type="stealth" w="lg" len="lg"/>
            </a:ln>
          </c:spPr>
          <c:marker>
            <c:symbol val="none"/>
          </c:marker>
          <c:xVal>
            <c:numRef>
              <c:f>AtmDisp!$AF$41:$AF$42</c:f>
              <c:numCache>
                <c:formatCode>0.0</c:formatCode>
                <c:ptCount val="2"/>
                <c:pt idx="0">
                  <c:v>1.9</c:v>
                </c:pt>
                <c:pt idx="1">
                  <c:v>1.9</c:v>
                </c:pt>
              </c:numCache>
            </c:numRef>
          </c:xVal>
          <c:yVal>
            <c:numRef>
              <c:f>AtmDisp!$AG$41:$AG$42</c:f>
              <c:numCache>
                <c:formatCode>0.0</c:formatCode>
                <c:ptCount val="2"/>
                <c:pt idx="0">
                  <c:v>1.9</c:v>
                </c:pt>
                <c:pt idx="1">
                  <c:v>2.8</c:v>
                </c:pt>
              </c:numCache>
            </c:numRef>
          </c:yVal>
          <c:smooth val="0"/>
          <c:extLst>
            <c:ext xmlns:c16="http://schemas.microsoft.com/office/drawing/2014/chart" uri="{C3380CC4-5D6E-409C-BE32-E72D297353CC}">
              <c16:uniqueId val="{00000202-CCBA-CE48-83E7-E4BD00983585}"/>
            </c:ext>
          </c:extLst>
        </c:ser>
        <c:ser>
          <c:idx val="7"/>
          <c:order val="9"/>
          <c:tx>
            <c:v>N</c:v>
          </c:tx>
          <c:marker>
            <c:symbol val="none"/>
          </c:marker>
          <c:dLbls>
            <c:dLbl>
              <c:idx val="0"/>
              <c:tx>
                <c:rich>
                  <a:bodyPr/>
                  <a:lstStyle/>
                  <a:p>
                    <a:fld id="{FB620484-AD2F-8148-828A-1E9718BD4A6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20B-CCBA-CE48-83E7-E4BD00983585}"/>
                </c:ext>
              </c:extLst>
            </c:dLbl>
            <c:spPr>
              <a:noFill/>
              <a:ln>
                <a:noFill/>
              </a:ln>
              <a:effectLst/>
            </c:spPr>
            <c:txPr>
              <a:bodyPr wrap="square" lIns="38100" tIns="19050" rIns="38100" bIns="19050" anchor="ctr">
                <a:spAutoFit/>
              </a:bodyPr>
              <a:lstStyle/>
              <a:p>
                <a:pPr>
                  <a:defRPr sz="1200" b="1">
                    <a:solidFill>
                      <a:srgbClr val="00B050"/>
                    </a:solidFill>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AtmDisp!$AH$38</c:f>
              <c:numCache>
                <c:formatCode>0.0</c:formatCode>
                <c:ptCount val="1"/>
                <c:pt idx="0">
                  <c:v>2.9349999999999996</c:v>
                </c:pt>
              </c:numCache>
            </c:numRef>
          </c:xVal>
          <c:yVal>
            <c:numRef>
              <c:f>AtmDisp!$AH$39</c:f>
              <c:numCache>
                <c:formatCode>0.0</c:formatCode>
                <c:ptCount val="1"/>
                <c:pt idx="0">
                  <c:v>1.9000000000000001</c:v>
                </c:pt>
              </c:numCache>
            </c:numRef>
          </c:yVal>
          <c:smooth val="0"/>
          <c:extLst>
            <c:ext xmlns:c15="http://schemas.microsoft.com/office/drawing/2012/chart" uri="{02D57815-91ED-43cb-92C2-25804820EDAC}">
              <c15:datalabelsRange>
                <c15:f>AtmDisp!$AH$37</c15:f>
                <c15:dlblRangeCache>
                  <c:ptCount val="1"/>
                  <c:pt idx="0">
                    <c:v>N</c:v>
                  </c:pt>
                </c15:dlblRangeCache>
              </c15:datalabelsRange>
            </c:ext>
            <c:ext xmlns:c16="http://schemas.microsoft.com/office/drawing/2014/chart" uri="{C3380CC4-5D6E-409C-BE32-E72D297353CC}">
              <c16:uniqueId val="{00000209-CCBA-CE48-83E7-E4BD00983585}"/>
            </c:ext>
          </c:extLst>
        </c:ser>
        <c:ser>
          <c:idx val="8"/>
          <c:order val="10"/>
          <c:tx>
            <c:v>S</c:v>
          </c:tx>
          <c:marker>
            <c:symbol val="none"/>
          </c:marker>
          <c:dLbls>
            <c:dLbl>
              <c:idx val="0"/>
              <c:tx>
                <c:rich>
                  <a:bodyPr/>
                  <a:lstStyle/>
                  <a:p>
                    <a:fld id="{B28CDC4D-F217-454E-AFB0-267D78EA38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20C-CCBA-CE48-83E7-E4BD00983585}"/>
                </c:ext>
              </c:extLst>
            </c:dLbl>
            <c:spPr>
              <a:noFill/>
              <a:ln>
                <a:noFill/>
              </a:ln>
              <a:effectLst/>
            </c:spPr>
            <c:txPr>
              <a:bodyPr wrap="square" lIns="38100" tIns="19050" rIns="38100" bIns="19050" anchor="ctr">
                <a:spAutoFit/>
              </a:bodyPr>
              <a:lstStyle/>
              <a:p>
                <a:pPr>
                  <a:defRPr sz="1200" b="1">
                    <a:solidFill>
                      <a:srgbClr val="00B050"/>
                    </a:solidFill>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AtmDisp!$AH$41</c:f>
              <c:numCache>
                <c:formatCode>0.0</c:formatCode>
                <c:ptCount val="1"/>
                <c:pt idx="0">
                  <c:v>1.8999999999999997</c:v>
                </c:pt>
              </c:numCache>
            </c:numRef>
          </c:xVal>
          <c:yVal>
            <c:numRef>
              <c:f>AtmDisp!$AH$42</c:f>
              <c:numCache>
                <c:formatCode>0.0</c:formatCode>
                <c:ptCount val="1"/>
                <c:pt idx="0">
                  <c:v>2.9349999999999996</c:v>
                </c:pt>
              </c:numCache>
            </c:numRef>
          </c:yVal>
          <c:smooth val="0"/>
          <c:extLst>
            <c:ext xmlns:c15="http://schemas.microsoft.com/office/drawing/2012/chart" uri="{02D57815-91ED-43cb-92C2-25804820EDAC}">
              <c15:datalabelsRange>
                <c15:f>AtmDisp!$AH$40</c15:f>
                <c15:dlblRangeCache>
                  <c:ptCount val="1"/>
                  <c:pt idx="0">
                    <c:v>E</c:v>
                  </c:pt>
                </c15:dlblRangeCache>
              </c15:datalabelsRange>
            </c:ext>
            <c:ext xmlns:c16="http://schemas.microsoft.com/office/drawing/2014/chart" uri="{C3380CC4-5D6E-409C-BE32-E72D297353CC}">
              <c16:uniqueId val="{0000020A-CCBA-CE48-83E7-E4BD00983585}"/>
            </c:ext>
          </c:extLst>
        </c:ser>
        <c:ser>
          <c:idx val="12"/>
          <c:order val="11"/>
          <c:tx>
            <c:v>Zenith</c:v>
          </c:tx>
          <c:spPr>
            <a:ln w="19050">
              <a:solidFill>
                <a:srgbClr val="FF0000"/>
              </a:solidFill>
              <a:tailEnd type="stealth" w="lg" len="lg"/>
            </a:ln>
          </c:spPr>
          <c:marker>
            <c:symbol val="none"/>
          </c:marker>
          <c:xVal>
            <c:numRef>
              <c:f>AtmDisp!$AF$44:$AF$45</c:f>
              <c:numCache>
                <c:formatCode>0.0</c:formatCode>
                <c:ptCount val="2"/>
                <c:pt idx="0">
                  <c:v>1.9</c:v>
                </c:pt>
                <c:pt idx="1">
                  <c:v>2.4007024592691053</c:v>
                </c:pt>
              </c:numCache>
            </c:numRef>
          </c:xVal>
          <c:yVal>
            <c:numRef>
              <c:f>AtmDisp!$AG$44:$AG$45</c:f>
              <c:numCache>
                <c:formatCode>0.0</c:formatCode>
                <c:ptCount val="2"/>
                <c:pt idx="0">
                  <c:v>1.9</c:v>
                </c:pt>
                <c:pt idx="1">
                  <c:v>2.6478616498269378</c:v>
                </c:pt>
              </c:numCache>
            </c:numRef>
          </c:yVal>
          <c:smooth val="0"/>
          <c:extLst>
            <c:ext xmlns:c16="http://schemas.microsoft.com/office/drawing/2014/chart" uri="{C3380CC4-5D6E-409C-BE32-E72D297353CC}">
              <c16:uniqueId val="{0000000D-AE9B-2C40-A4CE-E3F870E27F81}"/>
            </c:ext>
          </c:extLst>
        </c:ser>
        <c:ser>
          <c:idx val="13"/>
          <c:order val="12"/>
          <c:tx>
            <c:v>Z</c:v>
          </c:tx>
          <c:marker>
            <c:symbol val="none"/>
          </c:marker>
          <c:dLbls>
            <c:dLbl>
              <c:idx val="0"/>
              <c:tx>
                <c:rich>
                  <a:bodyPr/>
                  <a:lstStyle/>
                  <a:p>
                    <a:fld id="{4B38A54F-C27D-CB4E-9E80-93FCDB747E0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E9B-2C40-A4CE-E3F870E27F81}"/>
                </c:ext>
              </c:extLst>
            </c:dLbl>
            <c:spPr>
              <a:noFill/>
              <a:ln>
                <a:noFill/>
              </a:ln>
              <a:effectLst/>
            </c:spPr>
            <c:txPr>
              <a:bodyPr wrap="square" lIns="38100" tIns="19050" rIns="38100" bIns="19050" anchor="ctr">
                <a:spAutoFit/>
              </a:bodyPr>
              <a:lstStyle/>
              <a:p>
                <a:pPr>
                  <a:defRPr sz="1100" b="1">
                    <a:solidFill>
                      <a:srgbClr val="FF0000"/>
                    </a:solidFill>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AtmDisp!$AH$44</c:f>
              <c:numCache>
                <c:formatCode>0.0</c:formatCode>
                <c:ptCount val="1"/>
                <c:pt idx="0">
                  <c:v>2.4758078281594713</c:v>
                </c:pt>
              </c:numCache>
            </c:numRef>
          </c:xVal>
          <c:yVal>
            <c:numRef>
              <c:f>AtmDisp!$AH$45</c:f>
              <c:numCache>
                <c:formatCode>0.0</c:formatCode>
                <c:ptCount val="1"/>
                <c:pt idx="0">
                  <c:v>2.7600408973009789</c:v>
                </c:pt>
              </c:numCache>
            </c:numRef>
          </c:yVal>
          <c:smooth val="0"/>
          <c:extLst>
            <c:ext xmlns:c15="http://schemas.microsoft.com/office/drawing/2012/chart" uri="{02D57815-91ED-43cb-92C2-25804820EDAC}">
              <c15:datalabelsRange>
                <c15:f>AtmDisp!$AH$43</c15:f>
                <c15:dlblRangeCache>
                  <c:ptCount val="1"/>
                  <c:pt idx="0">
                    <c:v>Z</c:v>
                  </c:pt>
                </c15:dlblRangeCache>
              </c15:datalabelsRange>
            </c:ext>
            <c:ext xmlns:c16="http://schemas.microsoft.com/office/drawing/2014/chart" uri="{C3380CC4-5D6E-409C-BE32-E72D297353CC}">
              <c16:uniqueId val="{0000000E-AE9B-2C40-A4CE-E3F870E27F81}"/>
            </c:ext>
          </c:extLst>
        </c:ser>
        <c:ser>
          <c:idx val="10"/>
          <c:order val="13"/>
          <c:tx>
            <c:v>Wav labels</c:v>
          </c:tx>
          <c:spPr>
            <a:ln>
              <a:noFill/>
            </a:ln>
          </c:spPr>
          <c:marker>
            <c:symbol val="none"/>
          </c:marker>
          <c:dLbls>
            <c:dLbl>
              <c:idx val="0"/>
              <c:tx>
                <c:rich>
                  <a:bodyPr wrap="square" lIns="38100" tIns="19050" rIns="38100" bIns="19050" anchor="ctr">
                    <a:spAutoFit/>
                  </a:bodyPr>
                  <a:lstStyle/>
                  <a:p>
                    <a:pPr>
                      <a:defRPr>
                        <a:solidFill>
                          <a:srgbClr val="7030A0"/>
                        </a:solidFill>
                      </a:defRPr>
                    </a:pPr>
                    <a:fld id="{ED0406B4-92D9-E44D-9A50-9ABE1B480B1C}" type="CELLRANGE">
                      <a:rPr lang="en-US"/>
                      <a:pPr>
                        <a:defRPr>
                          <a:solidFill>
                            <a:srgbClr val="7030A0"/>
                          </a:solidFill>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E9B-2C40-A4CE-E3F870E27F81}"/>
                </c:ext>
              </c:extLst>
            </c:dLbl>
            <c:dLbl>
              <c:idx val="1"/>
              <c:tx>
                <c:rich>
                  <a:bodyPr wrap="square" lIns="38100" tIns="19050" rIns="38100" bIns="19050" anchor="ctr">
                    <a:spAutoFit/>
                  </a:bodyPr>
                  <a:lstStyle/>
                  <a:p>
                    <a:pPr>
                      <a:defRPr>
                        <a:solidFill>
                          <a:srgbClr val="0070C0"/>
                        </a:solidFill>
                      </a:defRPr>
                    </a:pPr>
                    <a:fld id="{F293881E-8ED2-A14C-A379-B426F3FF588C}" type="CELLRANGE">
                      <a:rPr lang="en-US"/>
                      <a:pPr>
                        <a:defRPr>
                          <a:solidFill>
                            <a:srgbClr val="0070C0"/>
                          </a:solidFill>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E9B-2C40-A4CE-E3F870E27F81}"/>
                </c:ext>
              </c:extLst>
            </c:dLbl>
            <c:dLbl>
              <c:idx val="2"/>
              <c:tx>
                <c:rich>
                  <a:bodyPr wrap="square" lIns="38100" tIns="19050" rIns="38100" bIns="19050" anchor="ctr">
                    <a:spAutoFit/>
                  </a:bodyPr>
                  <a:lstStyle/>
                  <a:p>
                    <a:pPr>
                      <a:defRPr>
                        <a:solidFill>
                          <a:srgbClr val="00B050"/>
                        </a:solidFill>
                      </a:defRPr>
                    </a:pPr>
                    <a:fld id="{EDCF7B8D-427D-8244-910A-DF05B507472A}" type="CELLRANGE">
                      <a:rPr lang="en-US"/>
                      <a:pPr>
                        <a:defRPr>
                          <a:solidFill>
                            <a:srgbClr val="00B050"/>
                          </a:solidFill>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E9B-2C40-A4CE-E3F870E27F81}"/>
                </c:ext>
              </c:extLst>
            </c:dLbl>
            <c:dLbl>
              <c:idx val="3"/>
              <c:tx>
                <c:rich>
                  <a:bodyPr wrap="square" lIns="38100" tIns="19050" rIns="38100" bIns="19050" anchor="ctr">
                    <a:spAutoFit/>
                  </a:bodyPr>
                  <a:lstStyle/>
                  <a:p>
                    <a:pPr>
                      <a:defRPr>
                        <a:solidFill>
                          <a:srgbClr val="C00000"/>
                        </a:solidFill>
                      </a:defRPr>
                    </a:pPr>
                    <a:fld id="{57FE2127-6294-D24B-AA98-9902CB75F5C4}" type="CELLRANGE">
                      <a:rPr lang="en-US"/>
                      <a:pPr>
                        <a:defRPr>
                          <a:solidFill>
                            <a:srgbClr val="C00000"/>
                          </a:solidFill>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E9B-2C40-A4CE-E3F870E27F81}"/>
                </c:ext>
              </c:extLst>
            </c:dLbl>
            <c:spPr>
              <a:solidFill>
                <a:schemeClr val="lt1"/>
              </a:solid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AtmDisp!$AK$40:$AK$43</c:f>
              <c:numCache>
                <c:formatCode>General</c:formatCode>
                <c:ptCount val="4"/>
                <c:pt idx="0">
                  <c:v>2</c:v>
                </c:pt>
                <c:pt idx="1">
                  <c:v>2</c:v>
                </c:pt>
                <c:pt idx="2">
                  <c:v>2</c:v>
                </c:pt>
                <c:pt idx="3">
                  <c:v>2</c:v>
                </c:pt>
              </c:numCache>
            </c:numRef>
          </c:xVal>
          <c:yVal>
            <c:numRef>
              <c:f>AtmDisp!$AL$40:$AL$43</c:f>
              <c:numCache>
                <c:formatCode>0.00</c:formatCode>
                <c:ptCount val="4"/>
                <c:pt idx="0" formatCode="General">
                  <c:v>-1.75</c:v>
                </c:pt>
                <c:pt idx="1">
                  <c:v>-2</c:v>
                </c:pt>
                <c:pt idx="2">
                  <c:v>-2.25</c:v>
                </c:pt>
                <c:pt idx="3">
                  <c:v>-2.5</c:v>
                </c:pt>
              </c:numCache>
            </c:numRef>
          </c:yVal>
          <c:smooth val="0"/>
          <c:extLst>
            <c:ext xmlns:c15="http://schemas.microsoft.com/office/drawing/2012/chart" uri="{02D57815-91ED-43cb-92C2-25804820EDAC}">
              <c15:datalabelsRange>
                <c15:f>AtmDisp!$AJ$40:$AJ$43</c15:f>
                <c15:dlblRangeCache>
                  <c:ptCount val="4"/>
                  <c:pt idx="0">
                    <c:v>3500</c:v>
                  </c:pt>
                  <c:pt idx="1">
                    <c:v>4500</c:v>
                  </c:pt>
                  <c:pt idx="2">
                    <c:v>5500</c:v>
                  </c:pt>
                  <c:pt idx="3">
                    <c:v>9500</c:v>
                  </c:pt>
                </c15:dlblRangeCache>
              </c15:datalabelsRange>
            </c:ext>
            <c:ext xmlns:c16="http://schemas.microsoft.com/office/drawing/2014/chart" uri="{C3380CC4-5D6E-409C-BE32-E72D297353CC}">
              <c16:uniqueId val="{00000006-AE9B-2C40-A4CE-E3F870E27F81}"/>
            </c:ext>
          </c:extLst>
        </c:ser>
        <c:ser>
          <c:idx val="11"/>
          <c:order val="14"/>
          <c:tx>
            <c:v>Date</c:v>
          </c:tx>
          <c:marker>
            <c:symbol val="none"/>
          </c:marker>
          <c:dLbls>
            <c:dLbl>
              <c:idx val="0"/>
              <c:tx>
                <c:rich>
                  <a:bodyPr/>
                  <a:lstStyle/>
                  <a:p>
                    <a:fld id="{637AB3E7-CFF8-3E41-A9DB-6B73C04459E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32833265722413096"/>
                      <c:h val="9.477334134255358E-2"/>
                    </c:manualLayout>
                  </c15:layout>
                  <c15:dlblFieldTable/>
                  <c15:showDataLabelsRange val="1"/>
                </c:ext>
                <c:ext xmlns:c16="http://schemas.microsoft.com/office/drawing/2014/chart" uri="{C3380CC4-5D6E-409C-BE32-E72D297353CC}">
                  <c16:uniqueId val="{0000000C-AE9B-2C40-A4CE-E3F870E27F81}"/>
                </c:ext>
              </c:extLst>
            </c:dLbl>
            <c:spPr>
              <a:noFill/>
              <a:ln>
                <a:noFill/>
              </a:ln>
              <a:effectLst/>
            </c:spPr>
            <c:txPr>
              <a:bodyPr wrap="square" lIns="38100" tIns="19050" rIns="38100" bIns="19050" anchor="ctr">
                <a:spAutoFit/>
              </a:bodyPr>
              <a:lstStyle/>
              <a:p>
                <a:pPr>
                  <a:defRPr sz="1400">
                    <a:solidFill>
                      <a:schemeClr val="tx1">
                        <a:lumMod val="65000"/>
                        <a:lumOff val="35000"/>
                      </a:schemeClr>
                    </a:solidFill>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AtmDisp!$AK$51</c:f>
              <c:numCache>
                <c:formatCode>General</c:formatCode>
                <c:ptCount val="1"/>
                <c:pt idx="0">
                  <c:v>-3</c:v>
                </c:pt>
              </c:numCache>
            </c:numRef>
          </c:xVal>
          <c:yVal>
            <c:numRef>
              <c:f>AtmDisp!$AL$51</c:f>
              <c:numCache>
                <c:formatCode>General</c:formatCode>
                <c:ptCount val="1"/>
                <c:pt idx="0">
                  <c:v>-2.6</c:v>
                </c:pt>
              </c:numCache>
            </c:numRef>
          </c:yVal>
          <c:smooth val="0"/>
          <c:extLst>
            <c:ext xmlns:c15="http://schemas.microsoft.com/office/drawing/2012/chart" uri="{02D57815-91ED-43cb-92C2-25804820EDAC}">
              <c15:datalabelsRange>
                <c15:f>AtmDisp!$B$3</c15:f>
                <c15:dlblRangeCache>
                  <c:ptCount val="1"/>
                  <c:pt idx="0">
                    <c:v>4115-dw2</c:v>
                  </c:pt>
                </c15:dlblRangeCache>
              </c15:datalabelsRange>
            </c:ext>
            <c:ext xmlns:c16="http://schemas.microsoft.com/office/drawing/2014/chart" uri="{C3380CC4-5D6E-409C-BE32-E72D297353CC}">
              <c16:uniqueId val="{0000000B-AE9B-2C40-A4CE-E3F870E27F81}"/>
            </c:ext>
          </c:extLst>
        </c:ser>
        <c:ser>
          <c:idx val="14"/>
          <c:order val="15"/>
          <c:tx>
            <c:v>Slit</c:v>
          </c:tx>
          <c:spPr>
            <a:ln w="19050">
              <a:solidFill>
                <a:schemeClr val="tx1"/>
              </a:solidFill>
              <a:tailEnd type="stealth" w="lg" len="lg"/>
            </a:ln>
          </c:spPr>
          <c:marker>
            <c:symbol val="none"/>
          </c:marker>
          <c:xVal>
            <c:numRef>
              <c:f>AtmDisp!$AF$47:$AF$48</c:f>
              <c:numCache>
                <c:formatCode>0.00</c:formatCode>
                <c:ptCount val="2"/>
                <c:pt idx="0">
                  <c:v>1.9</c:v>
                </c:pt>
                <c:pt idx="1">
                  <c:v>0.99999999999999989</c:v>
                </c:pt>
              </c:numCache>
            </c:numRef>
          </c:xVal>
          <c:yVal>
            <c:numRef>
              <c:f>AtmDisp!$AG$47:$AG$48</c:f>
              <c:numCache>
                <c:formatCode>0.00</c:formatCode>
                <c:ptCount val="2"/>
                <c:pt idx="0">
                  <c:v>1.9</c:v>
                </c:pt>
                <c:pt idx="1">
                  <c:v>1.9</c:v>
                </c:pt>
              </c:numCache>
            </c:numRef>
          </c:yVal>
          <c:smooth val="0"/>
          <c:extLst>
            <c:ext xmlns:c16="http://schemas.microsoft.com/office/drawing/2014/chart" uri="{C3380CC4-5D6E-409C-BE32-E72D297353CC}">
              <c16:uniqueId val="{00000010-AE9B-2C40-A4CE-E3F870E27F81}"/>
            </c:ext>
          </c:extLst>
        </c:ser>
        <c:ser>
          <c:idx val="15"/>
          <c:order val="16"/>
          <c:tx>
            <c:v>SL</c:v>
          </c:tx>
          <c:marker>
            <c:symbol val="none"/>
          </c:marker>
          <c:dLbls>
            <c:dLbl>
              <c:idx val="0"/>
              <c:tx>
                <c:rich>
                  <a:bodyPr/>
                  <a:lstStyle/>
                  <a:p>
                    <a:fld id="{A80CB39E-78F2-6E4B-878E-D762C631E1D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E9B-2C40-A4CE-E3F870E27F81}"/>
                </c:ext>
              </c:extLst>
            </c:dLbl>
            <c:spPr>
              <a:noFill/>
              <a:ln>
                <a:noFill/>
              </a:ln>
              <a:effectLst/>
            </c:spPr>
            <c:txPr>
              <a:bodyPr wrap="square" lIns="38100" tIns="19050" rIns="38100" bIns="19050" anchor="ctr">
                <a:spAutoFit/>
              </a:bodyPr>
              <a:lstStyle/>
              <a:p>
                <a:pPr>
                  <a:defRPr sz="1100" b="1"/>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AtmDisp!$AH$47</c:f>
              <c:numCache>
                <c:formatCode>General</c:formatCode>
                <c:ptCount val="1"/>
                <c:pt idx="0">
                  <c:v>0.86499999999999999</c:v>
                </c:pt>
              </c:numCache>
            </c:numRef>
          </c:xVal>
          <c:yVal>
            <c:numRef>
              <c:f>AtmDisp!$AH$48</c:f>
              <c:numCache>
                <c:formatCode>0.00</c:formatCode>
                <c:ptCount val="1"/>
                <c:pt idx="0">
                  <c:v>1.9</c:v>
                </c:pt>
              </c:numCache>
            </c:numRef>
          </c:yVal>
          <c:smooth val="0"/>
          <c:extLst>
            <c:ext xmlns:c15="http://schemas.microsoft.com/office/drawing/2012/chart" uri="{02D57815-91ED-43cb-92C2-25804820EDAC}">
              <c15:datalabelsRange>
                <c15:f>AtmDisp!$AH$46</c15:f>
                <c15:dlblRangeCache>
                  <c:ptCount val="1"/>
                  <c:pt idx="0">
                    <c:v>SL</c:v>
                  </c:pt>
                </c15:dlblRangeCache>
              </c15:datalabelsRange>
            </c:ext>
            <c:ext xmlns:c16="http://schemas.microsoft.com/office/drawing/2014/chart" uri="{C3380CC4-5D6E-409C-BE32-E72D297353CC}">
              <c16:uniqueId val="{00000011-AE9B-2C40-A4CE-E3F870E27F81}"/>
            </c:ext>
          </c:extLst>
        </c:ser>
        <c:ser>
          <c:idx val="16"/>
          <c:order val="17"/>
          <c:tx>
            <c:v>SLIT</c:v>
          </c:tx>
          <c:marker>
            <c:symbol val="none"/>
          </c:marker>
          <c:dLbls>
            <c:dLbl>
              <c:idx val="0"/>
              <c:tx>
                <c:rich>
                  <a:bodyPr rot="-5400000" vert="horz" wrap="square" lIns="38100" tIns="19050" rIns="38100" bIns="19050" anchor="ctr">
                    <a:spAutoFit/>
                  </a:bodyPr>
                  <a:lstStyle/>
                  <a:p>
                    <a:pPr>
                      <a:defRPr sz="1400"/>
                    </a:pPr>
                    <a:fld id="{6A58CE25-181F-BF44-B721-88B77122E6C2}" type="CELLRANGE">
                      <a:rPr lang="en-US"/>
                      <a:pPr>
                        <a:defRPr sz="1400"/>
                      </a:pPr>
                      <a:t>[CELLRANGE]</a:t>
                    </a:fld>
                    <a:endParaRPr lang="en-US"/>
                  </a:p>
                </c:rich>
              </c:tx>
              <c:spPr>
                <a:noFill/>
                <a:ln>
                  <a:noFill/>
                </a:ln>
                <a:effectLst/>
              </c:sp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459-D94E-A104-306492804F45}"/>
                </c:ext>
              </c:extLst>
            </c:dLbl>
            <c:spPr>
              <a:noFill/>
              <a:ln>
                <a:noFill/>
              </a:ln>
              <a:effectLst/>
            </c:spPr>
            <c:txPr>
              <a:bodyPr rot="-5400000" vert="horz" wrap="square" lIns="38100" tIns="19050" rIns="38100" bIns="19050" anchor="ctr">
                <a:spAutoFit/>
              </a:bodyPr>
              <a:lstStyle/>
              <a:p>
                <a:pPr>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AtmDisp!$AK$45</c:f>
              <c:numCache>
                <c:formatCode>General</c:formatCode>
                <c:ptCount val="1"/>
                <c:pt idx="0">
                  <c:v>-2.8</c:v>
                </c:pt>
              </c:numCache>
            </c:numRef>
          </c:xVal>
          <c:yVal>
            <c:numRef>
              <c:f>AtmDisp!$AL$45</c:f>
              <c:numCache>
                <c:formatCode>General</c:formatCode>
                <c:ptCount val="1"/>
                <c:pt idx="0">
                  <c:v>0</c:v>
                </c:pt>
              </c:numCache>
            </c:numRef>
          </c:yVal>
          <c:smooth val="0"/>
          <c:extLst>
            <c:ext xmlns:c15="http://schemas.microsoft.com/office/drawing/2012/chart" uri="{02D57815-91ED-43cb-92C2-25804820EDAC}">
              <c15:datalabelsRange>
                <c15:f>AtmDisp!$AJ$45</c15:f>
                <c15:dlblRangeCache>
                  <c:ptCount val="1"/>
                  <c:pt idx="0">
                    <c:v>S L I T</c:v>
                  </c:pt>
                </c15:dlblRangeCache>
              </c15:datalabelsRange>
            </c:ext>
            <c:ext xmlns:c16="http://schemas.microsoft.com/office/drawing/2014/chart" uri="{C3380CC4-5D6E-409C-BE32-E72D297353CC}">
              <c16:uniqueId val="{00000006-B459-D94E-A104-306492804F45}"/>
            </c:ext>
          </c:extLst>
        </c:ser>
        <c:dLbls>
          <c:showLegendKey val="0"/>
          <c:showVal val="0"/>
          <c:showCatName val="0"/>
          <c:showSerName val="0"/>
          <c:showPercent val="0"/>
          <c:showBubbleSize val="0"/>
        </c:dLbls>
        <c:axId val="241103296"/>
        <c:axId val="580761936"/>
      </c:scatterChart>
      <c:valAx>
        <c:axId val="241103296"/>
        <c:scaling>
          <c:orientation val="minMax"/>
          <c:max val="3"/>
          <c:min val="-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Along the slit (arcsec)</a:t>
                </a:r>
              </a:p>
            </c:rich>
          </c:tx>
          <c:overlay val="0"/>
          <c:spPr>
            <a:noFill/>
            <a:ln>
              <a:noFill/>
            </a:ln>
            <a:effectLst/>
          </c:sp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0761936"/>
        <c:crosses val="autoZero"/>
        <c:crossBetween val="midCat"/>
        <c:majorUnit val="1"/>
      </c:valAx>
      <c:valAx>
        <c:axId val="580761936"/>
        <c:scaling>
          <c:orientation val="minMax"/>
          <c:max val="3"/>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Across the slit (arcsec)</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1103296"/>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100000">
          <a:schemeClr val="accent5">
            <a:lumMod val="30000"/>
            <a:lumOff val="70000"/>
          </a:schemeClr>
        </a:gs>
      </a:gsLst>
      <a:lin ang="54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Slit loss</a:t>
            </a:r>
          </a:p>
        </c:rich>
      </c:tx>
      <c:layout>
        <c:manualLayout>
          <c:xMode val="edge"/>
          <c:yMode val="edge"/>
          <c:x val="0.45723982792516293"/>
          <c:y val="3.0914748008156849E-2"/>
        </c:manualLayout>
      </c:layout>
      <c:overlay val="0"/>
      <c:spPr>
        <a:noFill/>
        <a:ln>
          <a:noFill/>
        </a:ln>
        <a:effectLst/>
      </c:spPr>
    </c:title>
    <c:autoTitleDeleted val="0"/>
    <c:plotArea>
      <c:layout>
        <c:manualLayout>
          <c:layoutTarget val="inner"/>
          <c:xMode val="edge"/>
          <c:yMode val="edge"/>
          <c:x val="0.15294650420214928"/>
          <c:y val="0.10758645942143233"/>
          <c:w val="0.78953540325162364"/>
          <c:h val="0.74825866149258535"/>
        </c:manualLayout>
      </c:layout>
      <c:scatterChart>
        <c:scatterStyle val="lineMarker"/>
        <c:varyColors val="0"/>
        <c:ser>
          <c:idx val="3"/>
          <c:order val="0"/>
          <c:tx>
            <c:v>Throughput</c:v>
          </c:tx>
          <c:spPr>
            <a:ln w="12700">
              <a:solidFill>
                <a:schemeClr val="tx1"/>
              </a:solidFill>
            </a:ln>
          </c:spPr>
          <c:marker>
            <c:symbol val="circle"/>
            <c:size val="7"/>
            <c:spPr>
              <a:solidFill>
                <a:schemeClr val="lt1"/>
              </a:solidFill>
              <a:ln>
                <a:solidFill>
                  <a:srgbClr val="FF0000"/>
                </a:solidFill>
              </a:ln>
            </c:spPr>
          </c:marker>
          <c:dPt>
            <c:idx val="0"/>
            <c:marker>
              <c:spPr>
                <a:solidFill>
                  <a:srgbClr val="7030A0"/>
                </a:solidFill>
                <a:ln>
                  <a:solidFill>
                    <a:srgbClr val="7030A0"/>
                  </a:solidFill>
                </a:ln>
              </c:spPr>
            </c:marker>
            <c:bubble3D val="0"/>
            <c:extLst>
              <c:ext xmlns:c16="http://schemas.microsoft.com/office/drawing/2014/chart" uri="{C3380CC4-5D6E-409C-BE32-E72D297353CC}">
                <c16:uniqueId val="{0000000B-8A5E-4B4C-9D16-E55CAF00F1AF}"/>
              </c:ext>
            </c:extLst>
          </c:dPt>
          <c:dPt>
            <c:idx val="1"/>
            <c:marker>
              <c:spPr>
                <a:solidFill>
                  <a:srgbClr val="0070C0"/>
                </a:solidFill>
                <a:ln>
                  <a:solidFill>
                    <a:srgbClr val="0070C0"/>
                  </a:solidFill>
                </a:ln>
              </c:spPr>
            </c:marker>
            <c:bubble3D val="0"/>
            <c:extLst>
              <c:ext xmlns:c16="http://schemas.microsoft.com/office/drawing/2014/chart" uri="{C3380CC4-5D6E-409C-BE32-E72D297353CC}">
                <c16:uniqueId val="{0000000C-8A5E-4B4C-9D16-E55CAF00F1AF}"/>
              </c:ext>
            </c:extLst>
          </c:dPt>
          <c:dPt>
            <c:idx val="2"/>
            <c:marker>
              <c:spPr>
                <a:solidFill>
                  <a:srgbClr val="00B050"/>
                </a:solidFill>
                <a:ln>
                  <a:solidFill>
                    <a:srgbClr val="00B050"/>
                  </a:solidFill>
                </a:ln>
              </c:spPr>
            </c:marker>
            <c:bubble3D val="0"/>
            <c:extLst>
              <c:ext xmlns:c16="http://schemas.microsoft.com/office/drawing/2014/chart" uri="{C3380CC4-5D6E-409C-BE32-E72D297353CC}">
                <c16:uniqueId val="{0000000D-8A5E-4B4C-9D16-E55CAF00F1AF}"/>
              </c:ext>
            </c:extLst>
          </c:dPt>
          <c:dPt>
            <c:idx val="3"/>
            <c:marker>
              <c:spPr>
                <a:solidFill>
                  <a:srgbClr val="D7A211"/>
                </a:solidFill>
                <a:ln>
                  <a:solidFill>
                    <a:srgbClr val="D7A211"/>
                  </a:solidFill>
                </a:ln>
              </c:spPr>
            </c:marker>
            <c:bubble3D val="0"/>
            <c:extLst>
              <c:ext xmlns:c16="http://schemas.microsoft.com/office/drawing/2014/chart" uri="{C3380CC4-5D6E-409C-BE32-E72D297353CC}">
                <c16:uniqueId val="{0000000E-8A5E-4B4C-9D16-E55CAF00F1AF}"/>
              </c:ext>
            </c:extLst>
          </c:dPt>
          <c:dPt>
            <c:idx val="4"/>
            <c:marker>
              <c:spPr>
                <a:solidFill>
                  <a:srgbClr val="FF0000"/>
                </a:solidFill>
                <a:ln>
                  <a:solidFill>
                    <a:srgbClr val="FF0000"/>
                  </a:solidFill>
                </a:ln>
              </c:spPr>
            </c:marker>
            <c:bubble3D val="0"/>
            <c:extLst>
              <c:ext xmlns:c16="http://schemas.microsoft.com/office/drawing/2014/chart" uri="{C3380CC4-5D6E-409C-BE32-E72D297353CC}">
                <c16:uniqueId val="{00000006-D08B-6845-A74A-2607AD51B502}"/>
              </c:ext>
            </c:extLst>
          </c:dPt>
          <c:dPt>
            <c:idx val="5"/>
            <c:marker>
              <c:spPr>
                <a:solidFill>
                  <a:srgbClr val="C00000"/>
                </a:solidFill>
                <a:ln>
                  <a:solidFill>
                    <a:srgbClr val="C00000"/>
                  </a:solidFill>
                </a:ln>
              </c:spPr>
            </c:marker>
            <c:bubble3D val="0"/>
            <c:extLst>
              <c:ext xmlns:c16="http://schemas.microsoft.com/office/drawing/2014/chart" uri="{C3380CC4-5D6E-409C-BE32-E72D297353CC}">
                <c16:uniqueId val="{0000000F-8A5E-4B4C-9D16-E55CAF00F1AF}"/>
              </c:ext>
            </c:extLst>
          </c:dPt>
          <c:dPt>
            <c:idx val="6"/>
            <c:marker>
              <c:spPr>
                <a:solidFill>
                  <a:schemeClr val="tx1"/>
                </a:solidFill>
                <a:ln>
                  <a:solidFill>
                    <a:schemeClr val="tx1"/>
                  </a:solidFill>
                </a:ln>
              </c:spPr>
            </c:marker>
            <c:bubble3D val="0"/>
            <c:extLst>
              <c:ext xmlns:c16="http://schemas.microsoft.com/office/drawing/2014/chart" uri="{C3380CC4-5D6E-409C-BE32-E72D297353CC}">
                <c16:uniqueId val="{00000010-8A5E-4B4C-9D16-E55CAF00F1AF}"/>
              </c:ext>
            </c:extLst>
          </c:dPt>
          <c:xVal>
            <c:numRef>
              <c:f>AtmDisp!$AG$5:$AG$11</c:f>
              <c:numCache>
                <c:formatCode>General</c:formatCode>
                <c:ptCount val="7"/>
                <c:pt idx="0">
                  <c:v>3500</c:v>
                </c:pt>
                <c:pt idx="1">
                  <c:v>4500</c:v>
                </c:pt>
                <c:pt idx="2">
                  <c:v>5500</c:v>
                </c:pt>
                <c:pt idx="3">
                  <c:v>6500</c:v>
                </c:pt>
                <c:pt idx="4">
                  <c:v>7500</c:v>
                </c:pt>
                <c:pt idx="5">
                  <c:v>8500</c:v>
                </c:pt>
                <c:pt idx="6">
                  <c:v>9500</c:v>
                </c:pt>
              </c:numCache>
            </c:numRef>
          </c:xVal>
          <c:yVal>
            <c:numRef>
              <c:f>AtmDisp!$AM$5:$AM$11</c:f>
              <c:numCache>
                <c:formatCode>0.00</c:formatCode>
                <c:ptCount val="7"/>
                <c:pt idx="0">
                  <c:v>0.23227026213490409</c:v>
                </c:pt>
                <c:pt idx="1">
                  <c:v>0.77284210723996827</c:v>
                </c:pt>
                <c:pt idx="2">
                  <c:v>0.92760409523040932</c:v>
                </c:pt>
                <c:pt idx="3">
                  <c:v>0.96819118986018826</c:v>
                </c:pt>
                <c:pt idx="4">
                  <c:v>0.98200968760253615</c:v>
                </c:pt>
                <c:pt idx="5">
                  <c:v>0.98786283654832352</c:v>
                </c:pt>
                <c:pt idx="6">
                  <c:v>0.99075083906566475</c:v>
                </c:pt>
              </c:numCache>
            </c:numRef>
          </c:yVal>
          <c:smooth val="1"/>
          <c:extLst>
            <c:ext xmlns:c16="http://schemas.microsoft.com/office/drawing/2014/chart" uri="{C3380CC4-5D6E-409C-BE32-E72D297353CC}">
              <c16:uniqueId val="{0000000A-8A5E-4B4C-9D16-E55CAF00F1AF}"/>
            </c:ext>
          </c:extLst>
        </c:ser>
        <c:ser>
          <c:idx val="0"/>
          <c:order val="1"/>
          <c:tx>
            <c:v>Name</c:v>
          </c:tx>
          <c:marker>
            <c:symbol val="none"/>
          </c:marker>
          <c:dLbls>
            <c:dLbl>
              <c:idx val="0"/>
              <c:tx>
                <c:rich>
                  <a:bodyPr/>
                  <a:lstStyle/>
                  <a:p>
                    <a:fld id="{86980CBE-77D1-3D4D-A8AA-726778BDE0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manualLayout>
                      <c:w val="0.39581045942804544"/>
                      <c:h val="9.3462186797265062E-2"/>
                    </c:manualLayout>
                  </c15:layout>
                  <c15:dlblFieldTable/>
                  <c15:showDataLabelsRange val="1"/>
                </c:ext>
                <c:ext xmlns:c16="http://schemas.microsoft.com/office/drawing/2014/chart" uri="{C3380CC4-5D6E-409C-BE32-E72D297353CC}">
                  <c16:uniqueId val="{00000008-D08B-6845-A74A-2607AD51B502}"/>
                </c:ext>
              </c:extLst>
            </c:dLbl>
            <c:spPr>
              <a:noFill/>
              <a:ln>
                <a:noFill/>
              </a:ln>
              <a:effectLst/>
            </c:spPr>
            <c:txPr>
              <a:bodyPr wrap="square" lIns="38100" tIns="19050" rIns="38100" bIns="19050" anchor="ctr">
                <a:spAutoFit/>
              </a:bodyPr>
              <a:lstStyle/>
              <a:p>
                <a:pPr>
                  <a:defRPr sz="1400">
                    <a:solidFill>
                      <a:schemeClr val="tx1">
                        <a:lumMod val="65000"/>
                        <a:lumOff val="35000"/>
                      </a:schemeClr>
                    </a:solidFill>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AtmDisp!$AK$50</c:f>
              <c:numCache>
                <c:formatCode>General</c:formatCode>
                <c:ptCount val="1"/>
                <c:pt idx="0">
                  <c:v>8000</c:v>
                </c:pt>
              </c:numCache>
            </c:numRef>
          </c:xVal>
          <c:yVal>
            <c:numRef>
              <c:f>AtmDisp!$AL$50</c:f>
              <c:numCache>
                <c:formatCode>General</c:formatCode>
                <c:ptCount val="1"/>
                <c:pt idx="0">
                  <c:v>0.2</c:v>
                </c:pt>
              </c:numCache>
            </c:numRef>
          </c:yVal>
          <c:smooth val="0"/>
          <c:extLst>
            <c:ext xmlns:c15="http://schemas.microsoft.com/office/drawing/2012/chart" uri="{02D57815-91ED-43cb-92C2-25804820EDAC}">
              <c15:datalabelsRange>
                <c15:f>AtmDisp!$B$3</c15:f>
                <c15:dlblRangeCache>
                  <c:ptCount val="1"/>
                  <c:pt idx="0">
                    <c:v>4115-dw2</c:v>
                  </c:pt>
                </c15:dlblRangeCache>
              </c15:datalabelsRange>
            </c:ext>
            <c:ext xmlns:c16="http://schemas.microsoft.com/office/drawing/2014/chart" uri="{C3380CC4-5D6E-409C-BE32-E72D297353CC}">
              <c16:uniqueId val="{00000007-D08B-6845-A74A-2607AD51B502}"/>
            </c:ext>
          </c:extLst>
        </c:ser>
        <c:dLbls>
          <c:showLegendKey val="0"/>
          <c:showVal val="0"/>
          <c:showCatName val="0"/>
          <c:showSerName val="0"/>
          <c:showPercent val="0"/>
          <c:showBubbleSize val="0"/>
        </c:dLbls>
        <c:axId val="241103296"/>
        <c:axId val="580761936"/>
      </c:scatterChart>
      <c:valAx>
        <c:axId val="241103296"/>
        <c:scaling>
          <c:orientation val="minMax"/>
          <c:max val="10000"/>
          <c:min val="3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Wavelength (Ang)</a:t>
                </a:r>
              </a:p>
            </c:rich>
          </c:tx>
          <c:overlay val="0"/>
          <c:spPr>
            <a:noFill/>
            <a:ln>
              <a:noFill/>
            </a:ln>
            <a:effectLst/>
          </c:sp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0761936"/>
        <c:crosses val="autoZero"/>
        <c:crossBetween val="midCat"/>
        <c:majorUnit val="1000"/>
      </c:valAx>
      <c:valAx>
        <c:axId val="58076193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Fraction entering slit</a:t>
                </a:r>
              </a:p>
            </c:rich>
          </c:tx>
          <c:overlay val="0"/>
          <c:spPr>
            <a:noFill/>
            <a:ln>
              <a:noFill/>
            </a:ln>
            <a:effectLst/>
          </c:spPr>
        </c:title>
        <c:numFmt formatCode="0.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1103296"/>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100000">
          <a:schemeClr val="accent5">
            <a:lumMod val="30000"/>
            <a:lumOff val="70000"/>
          </a:schemeClr>
        </a:gs>
      </a:gsLst>
      <a:lin ang="54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Altitude through</a:t>
            </a:r>
            <a:r>
              <a:rPr lang="en-US" sz="1600" b="1" baseline="0"/>
              <a:t> the night</a:t>
            </a:r>
            <a:endParaRPr lang="en-US" sz="1600" b="1"/>
          </a:p>
        </c:rich>
      </c:tx>
      <c:layout>
        <c:manualLayout>
          <c:xMode val="edge"/>
          <c:yMode val="edge"/>
          <c:x val="0.36643377715889958"/>
          <c:y val="2.8316192767828707E-2"/>
        </c:manualLayout>
      </c:layout>
      <c:overlay val="0"/>
      <c:spPr>
        <a:noFill/>
        <a:ln>
          <a:noFill/>
        </a:ln>
        <a:effectLst/>
      </c:spPr>
    </c:title>
    <c:autoTitleDeleted val="0"/>
    <c:plotArea>
      <c:layout/>
      <c:scatterChart>
        <c:scatterStyle val="smoothMarker"/>
        <c:varyColors val="0"/>
        <c:ser>
          <c:idx val="17"/>
          <c:order val="0"/>
          <c:tx>
            <c:v>Moon</c:v>
          </c:tx>
          <c:spPr>
            <a:ln w="9525" cap="rnd">
              <a:solidFill>
                <a:schemeClr val="tx1"/>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MODS!$AZ$5:$AZ$37</c:f>
              <c:numCache>
                <c:formatCode>0</c:formatCode>
                <c:ptCount val="33"/>
                <c:pt idx="0">
                  <c:v>15.857360496757829</c:v>
                </c:pt>
                <c:pt idx="1">
                  <c:v>10.217680608668887</c:v>
                </c:pt>
                <c:pt idx="2">
                  <c:v>4.3719928023574637</c:v>
                </c:pt>
                <c:pt idx="3">
                  <c:v>-1.6329306079357193</c:v>
                </c:pt>
                <c:pt idx="4">
                  <c:v>-7.7587954851544456</c:v>
                </c:pt>
                <c:pt idx="5">
                  <c:v>-13.973118424042072</c:v>
                </c:pt>
                <c:pt idx="6">
                  <c:v>-20.2468407919676</c:v>
                </c:pt>
                <c:pt idx="7">
                  <c:v>-26.551971561349109</c:v>
                </c:pt>
                <c:pt idx="8">
                  <c:v>-32.858876431809172</c:v>
                </c:pt>
                <c:pt idx="9">
                  <c:v>-39.132585589290542</c:v>
                </c:pt>
                <c:pt idx="10">
                  <c:v>-45.326971744722989</c:v>
                </c:pt>
                <c:pt idx="11">
                  <c:v>-51.374523143676782</c:v>
                </c:pt>
                <c:pt idx="12">
                  <c:v>-57.167038369940038</c:v>
                </c:pt>
                <c:pt idx="13">
                  <c:v>-62.518059504067331</c:v>
                </c:pt>
                <c:pt idx="14">
                  <c:v>-67.094051739215317</c:v>
                </c:pt>
                <c:pt idx="15">
                  <c:v>-70.328700754037143</c:v>
                </c:pt>
                <c:pt idx="16">
                  <c:v>-71.493655838546616</c:v>
                </c:pt>
                <c:pt idx="17">
                  <c:v>-70.216608924255567</c:v>
                </c:pt>
                <c:pt idx="18">
                  <c:v>-66.902056263995831</c:v>
                </c:pt>
                <c:pt idx="19">
                  <c:v>-62.278637111804599</c:v>
                </c:pt>
                <c:pt idx="20">
                  <c:v>-56.900681184640575</c:v>
                </c:pt>
                <c:pt idx="21">
                  <c:v>-51.092698537767014</c:v>
                </c:pt>
                <c:pt idx="22">
                  <c:v>-45.03617572231542</c:v>
                </c:pt>
                <c:pt idx="23">
                  <c:v>-38.836731401420941</c:v>
                </c:pt>
                <c:pt idx="24">
                  <c:v>-32.560526477767652</c:v>
                </c:pt>
                <c:pt idx="25">
                  <c:v>-26.252976378463654</c:v>
                </c:pt>
                <c:pt idx="26">
                  <c:v>-19.948689835251908</c:v>
                </c:pt>
                <c:pt idx="27">
                  <c:v>-13.677150992021119</c:v>
                </c:pt>
                <c:pt idx="28">
                  <c:v>-7.4663449551510865</c:v>
                </c:pt>
                <c:pt idx="29">
                  <c:v>-1.3454404045085029</c:v>
                </c:pt>
                <c:pt idx="30">
                  <c:v>4.652859215761362</c:v>
                </c:pt>
                <c:pt idx="31">
                  <c:v>10.489921292141169</c:v>
                </c:pt>
                <c:pt idx="32">
                  <c:v>16.118498732643513</c:v>
                </c:pt>
              </c:numCache>
            </c:numRef>
          </c:yVal>
          <c:smooth val="1"/>
          <c:extLst>
            <c:ext xmlns:c16="http://schemas.microsoft.com/office/drawing/2014/chart" uri="{C3380CC4-5D6E-409C-BE32-E72D297353CC}">
              <c16:uniqueId val="{00000003-605D-A443-9B3A-36C31A2CF84A}"/>
            </c:ext>
          </c:extLst>
        </c:ser>
        <c:ser>
          <c:idx val="0"/>
          <c:order val="1"/>
          <c:tx>
            <c:strRef>
              <c:f>MODS!$W$5</c:f>
              <c:strCache>
                <c:ptCount val="1"/>
                <c:pt idx="0">
                  <c:v>XMD Mrk59</c:v>
                </c:pt>
              </c:strCache>
            </c:strRef>
          </c:tx>
          <c:spPr>
            <a:ln w="12700" cap="rnd">
              <a:solidFill>
                <a:srgbClr val="00B0F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MODS!$BA$5:$BA$37</c:f>
              <c:numCache>
                <c:formatCode>0</c:formatCode>
                <c:ptCount val="33"/>
                <c:pt idx="0">
                  <c:v>-20.510884612179069</c:v>
                </c:pt>
                <c:pt idx="1">
                  <c:v>-18.525288370379474</c:v>
                </c:pt>
                <c:pt idx="2">
                  <c:v>-15.922973448892597</c:v>
                </c:pt>
                <c:pt idx="3">
                  <c:v>-12.767330485112046</c:v>
                </c:pt>
                <c:pt idx="4">
                  <c:v>-9.1244214256655045</c:v>
                </c:pt>
                <c:pt idx="5">
                  <c:v>-5.0584624613054112</c:v>
                </c:pt>
                <c:pt idx="6">
                  <c:v>-0.62894167905859977</c:v>
                </c:pt>
                <c:pt idx="7">
                  <c:v>4.1108385445009112</c:v>
                </c:pt>
                <c:pt idx="8">
                  <c:v>9.1141817740874735</c:v>
                </c:pt>
                <c:pt idx="9">
                  <c:v>14.340765207083379</c:v>
                </c:pt>
                <c:pt idx="10">
                  <c:v>19.756056260567739</c:v>
                </c:pt>
                <c:pt idx="11">
                  <c:v>25.330581521480191</c:v>
                </c:pt>
                <c:pt idx="12">
                  <c:v>31.039169193249567</c:v>
                </c:pt>
                <c:pt idx="13">
                  <c:v>36.860226485780395</c:v>
                </c:pt>
                <c:pt idx="14">
                  <c:v>42.775072209314892</c:v>
                </c:pt>
                <c:pt idx="15">
                  <c:v>48.767312822830995</c:v>
                </c:pt>
                <c:pt idx="16">
                  <c:v>54.822211355699579</c:v>
                </c:pt>
                <c:pt idx="17">
                  <c:v>60.925913324459515</c:v>
                </c:pt>
                <c:pt idx="18">
                  <c:v>67.064118162795253</c:v>
                </c:pt>
                <c:pt idx="19">
                  <c:v>73.218606889190042</c:v>
                </c:pt>
                <c:pt idx="20">
                  <c:v>79.35276932145949</c:v>
                </c:pt>
                <c:pt idx="21">
                  <c:v>85.286217999056788</c:v>
                </c:pt>
                <c:pt idx="22">
                  <c:v>87.055110050852576</c:v>
                </c:pt>
                <c:pt idx="23">
                  <c:v>81.468091084354654</c:v>
                </c:pt>
                <c:pt idx="24">
                  <c:v>75.363035645528285</c:v>
                </c:pt>
                <c:pt idx="25">
                  <c:v>69.209446741977899</c:v>
                </c:pt>
                <c:pt idx="26">
                  <c:v>63.06308531045859</c:v>
                </c:pt>
                <c:pt idx="27">
                  <c:v>56.945641287133014</c:v>
                </c:pt>
                <c:pt idx="28">
                  <c:v>50.872167453913001</c:v>
                </c:pt>
                <c:pt idx="29">
                  <c:v>44.856469607679003</c:v>
                </c:pt>
                <c:pt idx="30">
                  <c:v>38.912874327043554</c:v>
                </c:pt>
                <c:pt idx="31">
                  <c:v>33.057122794653729</c:v>
                </c:pt>
                <c:pt idx="32">
                  <c:v>27.307028889633706</c:v>
                </c:pt>
              </c:numCache>
            </c:numRef>
          </c:yVal>
          <c:smooth val="1"/>
          <c:extLst>
            <c:ext xmlns:c16="http://schemas.microsoft.com/office/drawing/2014/chart" uri="{C3380CC4-5D6E-409C-BE32-E72D297353CC}">
              <c16:uniqueId val="{00000000-D119-DA4F-B597-618CE15A00D3}"/>
            </c:ext>
          </c:extLst>
        </c:ser>
        <c:ser>
          <c:idx val="1"/>
          <c:order val="2"/>
          <c:tx>
            <c:strRef>
              <c:f>MODS!$W$6</c:f>
              <c:strCache>
                <c:ptCount val="1"/>
                <c:pt idx="0">
                  <c:v>SBS1135</c:v>
                </c:pt>
              </c:strCache>
            </c:strRef>
          </c:tx>
          <c:spPr>
            <a:ln w="9525" cap="rnd">
              <a:solidFill>
                <a:srgbClr val="FF000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MODS!$BB$5:$BB$37</c:f>
              <c:numCache>
                <c:formatCode>0</c:formatCode>
                <c:ptCount val="33"/>
                <c:pt idx="0">
                  <c:v>5.9292666616812859</c:v>
                </c:pt>
                <c:pt idx="1">
                  <c:v>8.1665770227997978</c:v>
                </c:pt>
                <c:pt idx="2">
                  <c:v>10.731077156023968</c:v>
                </c:pt>
                <c:pt idx="3">
                  <c:v>13.590992213491344</c:v>
                </c:pt>
                <c:pt idx="4">
                  <c:v>16.713486449668505</c:v>
                </c:pt>
                <c:pt idx="5">
                  <c:v>20.065221691625371</c:v>
                </c:pt>
                <c:pt idx="6">
                  <c:v>23.612599519443901</c:v>
                </c:pt>
                <c:pt idx="7">
                  <c:v>27.321668288192601</c:v>
                </c:pt>
                <c:pt idx="8">
                  <c:v>31.157668751580719</c:v>
                </c:pt>
                <c:pt idx="9">
                  <c:v>35.084164860731448</c:v>
                </c:pt>
                <c:pt idx="10">
                  <c:v>39.061657861418958</c:v>
                </c:pt>
                <c:pt idx="11">
                  <c:v>43.045510370522408</c:v>
                </c:pt>
                <c:pt idx="12">
                  <c:v>46.98291634710818</c:v>
                </c:pt>
                <c:pt idx="13">
                  <c:v>50.808572401458143</c:v>
                </c:pt>
                <c:pt idx="14">
                  <c:v>54.438750663650438</c:v>
                </c:pt>
                <c:pt idx="15">
                  <c:v>57.763986270487507</c:v>
                </c:pt>
                <c:pt idx="16">
                  <c:v>60.642372276667096</c:v>
                </c:pt>
                <c:pt idx="17">
                  <c:v>62.899635186501051</c:v>
                </c:pt>
                <c:pt idx="18">
                  <c:v>64.347880754914186</c:v>
                </c:pt>
                <c:pt idx="19">
                  <c:v>64.832993215933456</c:v>
                </c:pt>
                <c:pt idx="20">
                  <c:v>64.295991040817498</c:v>
                </c:pt>
                <c:pt idx="21">
                  <c:v>62.801928741758879</c:v>
                </c:pt>
                <c:pt idx="22">
                  <c:v>60.508189295388753</c:v>
                </c:pt>
                <c:pt idx="23">
                  <c:v>57.602873414458607</c:v>
                </c:pt>
                <c:pt idx="24">
                  <c:v>54.258831552380308</c:v>
                </c:pt>
                <c:pt idx="25">
                  <c:v>50.616209453176808</c:v>
                </c:pt>
                <c:pt idx="26">
                  <c:v>46.782966821173474</c:v>
                </c:pt>
                <c:pt idx="27">
                  <c:v>42.841716265707539</c:v>
                </c:pt>
                <c:pt idx="28">
                  <c:v>38.856989892997298</c:v>
                </c:pt>
                <c:pt idx="29">
                  <c:v>34.881081810835525</c:v>
                </c:pt>
                <c:pt idx="30">
                  <c:v>30.958301431830922</c:v>
                </c:pt>
                <c:pt idx="31">
                  <c:v>27.127946636249092</c:v>
                </c:pt>
                <c:pt idx="32">
                  <c:v>23.426338680280615</c:v>
                </c:pt>
              </c:numCache>
            </c:numRef>
          </c:yVal>
          <c:smooth val="1"/>
          <c:extLst>
            <c:ext xmlns:c16="http://schemas.microsoft.com/office/drawing/2014/chart" uri="{C3380CC4-5D6E-409C-BE32-E72D297353CC}">
              <c16:uniqueId val="{00000001-D119-DA4F-B597-618CE15A00D3}"/>
            </c:ext>
          </c:extLst>
        </c:ser>
        <c:ser>
          <c:idx val="2"/>
          <c:order val="3"/>
          <c:tx>
            <c:strRef>
              <c:f>MODS!$W$7</c:f>
              <c:strCache>
                <c:ptCount val="1"/>
                <c:pt idx="0">
                  <c:v>SBS1437</c:v>
                </c:pt>
              </c:strCache>
            </c:strRef>
          </c:tx>
          <c:spPr>
            <a:ln w="12700" cap="rnd">
              <a:solidFill>
                <a:srgbClr val="0070C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MODS!$BC$5:$BC$37</c:f>
              <c:numCache>
                <c:formatCode>0</c:formatCode>
                <c:ptCount val="33"/>
                <c:pt idx="0">
                  <c:v>-20.142367389824788</c:v>
                </c:pt>
                <c:pt idx="1">
                  <c:v>-20.499979194105574</c:v>
                </c:pt>
                <c:pt idx="2">
                  <c:v>-20.153154066982502</c:v>
                </c:pt>
                <c:pt idx="3">
                  <c:v>-19.112393125431886</c:v>
                </c:pt>
                <c:pt idx="4">
                  <c:v>-17.408019707094589</c:v>
                </c:pt>
                <c:pt idx="5">
                  <c:v>-15.0861012148893</c:v>
                </c:pt>
                <c:pt idx="6">
                  <c:v>-12.202988130480408</c:v>
                </c:pt>
                <c:pt idx="7">
                  <c:v>-8.8198023884109471</c:v>
                </c:pt>
                <c:pt idx="8">
                  <c:v>-4.997848490457824</c:v>
                </c:pt>
                <c:pt idx="9">
                  <c:v>-0.79537710528200611</c:v>
                </c:pt>
                <c:pt idx="10">
                  <c:v>3.7343183090378531</c:v>
                </c:pt>
                <c:pt idx="11">
                  <c:v>8.5437355933506165</c:v>
                </c:pt>
                <c:pt idx="12">
                  <c:v>13.591257681726525</c:v>
                </c:pt>
                <c:pt idx="13">
                  <c:v>18.840796636385182</c:v>
                </c:pt>
                <c:pt idx="14">
                  <c:v>24.26120174402806</c:v>
                </c:pt>
                <c:pt idx="15">
                  <c:v>29.825568019331282</c:v>
                </c:pt>
                <c:pt idx="16">
                  <c:v>35.510516892618163</c:v>
                </c:pt>
                <c:pt idx="17">
                  <c:v>41.295467723258717</c:v>
                </c:pt>
                <c:pt idx="18">
                  <c:v>47.161864568193259</c:v>
                </c:pt>
                <c:pt idx="19">
                  <c:v>53.092236877534297</c:v>
                </c:pt>
                <c:pt idx="20">
                  <c:v>59.068769733857948</c:v>
                </c:pt>
                <c:pt idx="21">
                  <c:v>65.070438137259643</c:v>
                </c:pt>
                <c:pt idx="22">
                  <c:v>71.065399116645096</c:v>
                </c:pt>
                <c:pt idx="23">
                  <c:v>76.983495358167318</c:v>
                </c:pt>
                <c:pt idx="24">
                  <c:v>82.562837483293166</c:v>
                </c:pt>
                <c:pt idx="25">
                  <c:v>85.899727435609279</c:v>
                </c:pt>
                <c:pt idx="26">
                  <c:v>82.641485795193063</c:v>
                </c:pt>
                <c:pt idx="27">
                  <c:v>77.072949907533783</c:v>
                </c:pt>
                <c:pt idx="28">
                  <c:v>71.157110066572386</c:v>
                </c:pt>
                <c:pt idx="29">
                  <c:v>65.162628949212433</c:v>
                </c:pt>
                <c:pt idx="30">
                  <c:v>59.160777724325236</c:v>
                </c:pt>
                <c:pt idx="31">
                  <c:v>53.183686049868292</c:v>
                </c:pt>
                <c:pt idx="32">
                  <c:v>47.252467022043625</c:v>
                </c:pt>
              </c:numCache>
            </c:numRef>
          </c:yVal>
          <c:smooth val="1"/>
          <c:extLst>
            <c:ext xmlns:c16="http://schemas.microsoft.com/office/drawing/2014/chart" uri="{C3380CC4-5D6E-409C-BE32-E72D297353CC}">
              <c16:uniqueId val="{00000002-D119-DA4F-B597-618CE15A00D3}"/>
            </c:ext>
          </c:extLst>
        </c:ser>
        <c:ser>
          <c:idx val="3"/>
          <c:order val="4"/>
          <c:tx>
            <c:strRef>
              <c:f>MODS!$W$8</c:f>
              <c:strCache>
                <c:ptCount val="1"/>
              </c:strCache>
            </c:strRef>
          </c:tx>
          <c:spPr>
            <a:ln w="9525" cap="rnd">
              <a:solidFill>
                <a:srgbClr val="0070C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MODS!$BD$5:$BD$37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3-D119-DA4F-B597-618CE15A00D3}"/>
            </c:ext>
          </c:extLst>
        </c:ser>
        <c:ser>
          <c:idx val="4"/>
          <c:order val="5"/>
          <c:tx>
            <c:strRef>
              <c:f>MODS!$W$9</c:f>
              <c:strCache>
                <c:ptCount val="1"/>
                <c:pt idx="0">
                  <c:v>SDSS1411</c:v>
                </c:pt>
              </c:strCache>
            </c:strRef>
          </c:tx>
          <c:spPr>
            <a:ln w="9525" cap="rnd">
              <a:solidFill>
                <a:srgbClr val="FF000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MODS!$BE$5:$BE$37</c:f>
              <c:numCache>
                <c:formatCode>0</c:formatCode>
                <c:ptCount val="33"/>
                <c:pt idx="0">
                  <c:v>-37.147311102564409</c:v>
                </c:pt>
                <c:pt idx="1">
                  <c:v>-36.734766250770896</c:v>
                </c:pt>
                <c:pt idx="2">
                  <c:v>-35.375924602079579</c:v>
                </c:pt>
                <c:pt idx="3">
                  <c:v>-33.139244606439583</c:v>
                </c:pt>
                <c:pt idx="4">
                  <c:v>-30.124101844082386</c:v>
                </c:pt>
                <c:pt idx="5">
                  <c:v>-26.44267252273778</c:v>
                </c:pt>
                <c:pt idx="6">
                  <c:v>-22.205286047592335</c:v>
                </c:pt>
                <c:pt idx="7">
                  <c:v>-17.511641953577509</c:v>
                </c:pt>
                <c:pt idx="8">
                  <c:v>-12.447223365424982</c:v>
                </c:pt>
                <c:pt idx="9">
                  <c:v>-7.0830946904175445</c:v>
                </c:pt>
                <c:pt idx="10">
                  <c:v>-1.4774229094898805</c:v>
                </c:pt>
                <c:pt idx="11">
                  <c:v>4.3223675721503554</c:v>
                </c:pt>
                <c:pt idx="12">
                  <c:v>10.27737810403025</c:v>
                </c:pt>
                <c:pt idx="13">
                  <c:v>16.355183770577323</c:v>
                </c:pt>
                <c:pt idx="14">
                  <c:v>22.527971425408101</c:v>
                </c:pt>
                <c:pt idx="15">
                  <c:v>28.770769363065526</c:v>
                </c:pt>
                <c:pt idx="16">
                  <c:v>35.059558728594517</c:v>
                </c:pt>
                <c:pt idx="17">
                  <c:v>41.36888016113874</c:v>
                </c:pt>
                <c:pt idx="18">
                  <c:v>47.668166827141249</c:v>
                </c:pt>
                <c:pt idx="19">
                  <c:v>53.915098864979406</c:v>
                </c:pt>
                <c:pt idx="20">
                  <c:v>60.041788754558588</c:v>
                </c:pt>
                <c:pt idx="21">
                  <c:v>65.922527259669423</c:v>
                </c:pt>
                <c:pt idx="22">
                  <c:v>71.291394214581416</c:v>
                </c:pt>
                <c:pt idx="23">
                  <c:v>75.536652534900611</c:v>
                </c:pt>
                <c:pt idx="24">
                  <c:v>77.440140364095143</c:v>
                </c:pt>
                <c:pt idx="25">
                  <c:v>76.004451187624539</c:v>
                </c:pt>
                <c:pt idx="26">
                  <c:v>72.015779269050228</c:v>
                </c:pt>
                <c:pt idx="27">
                  <c:v>66.762687800597064</c:v>
                </c:pt>
                <c:pt idx="28">
                  <c:v>60.935997081409766</c:v>
                </c:pt>
                <c:pt idx="29">
                  <c:v>54.83582244574837</c:v>
                </c:pt>
                <c:pt idx="30">
                  <c:v>48.601569098604848</c:v>
                </c:pt>
                <c:pt idx="31">
                  <c:v>42.306975434758954</c:v>
                </c:pt>
                <c:pt idx="32">
                  <c:v>35.997022241438245</c:v>
                </c:pt>
              </c:numCache>
            </c:numRef>
          </c:yVal>
          <c:smooth val="1"/>
          <c:extLst>
            <c:ext xmlns:c16="http://schemas.microsoft.com/office/drawing/2014/chart" uri="{C3380CC4-5D6E-409C-BE32-E72D297353CC}">
              <c16:uniqueId val="{00000004-D119-DA4F-B597-618CE15A00D3}"/>
            </c:ext>
          </c:extLst>
        </c:ser>
        <c:ser>
          <c:idx val="18"/>
          <c:order val="6"/>
          <c:tx>
            <c:strRef>
              <c:f>MODS!$W$10</c:f>
              <c:strCache>
                <c:ptCount val="1"/>
                <c:pt idx="0">
                  <c:v>gd153</c:v>
                </c:pt>
              </c:strCache>
            </c:strRef>
          </c:tx>
          <c:spPr>
            <a:ln w="9525" cap="rnd">
              <a:solidFill>
                <a:srgbClr val="0070C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MODS!$BF$5:$BF$37</c:f>
              <c:numCache>
                <c:formatCode>0</c:formatCode>
                <c:ptCount val="33"/>
                <c:pt idx="0">
                  <c:v>-32.661797070147202</c:v>
                </c:pt>
                <c:pt idx="1">
                  <c:v>-30.129747398264051</c:v>
                </c:pt>
                <c:pt idx="2">
                  <c:v>-26.884066145616643</c:v>
                </c:pt>
                <c:pt idx="3">
                  <c:v>-23.029888077678617</c:v>
                </c:pt>
                <c:pt idx="4">
                  <c:v>-18.6675729776839</c:v>
                </c:pt>
                <c:pt idx="5">
                  <c:v>-13.886577532341244</c:v>
                </c:pt>
                <c:pt idx="6">
                  <c:v>-8.7632933735380192</c:v>
                </c:pt>
                <c:pt idx="7">
                  <c:v>-3.3613359954867694</c:v>
                </c:pt>
                <c:pt idx="8">
                  <c:v>2.2669649134737533</c:v>
                </c:pt>
                <c:pt idx="9">
                  <c:v>8.0786616612687983</c:v>
                </c:pt>
                <c:pt idx="10">
                  <c:v>14.038275203471935</c:v>
                </c:pt>
                <c:pt idx="11">
                  <c:v>20.116024603570214</c:v>
                </c:pt>
                <c:pt idx="12">
                  <c:v>26.286200010979062</c:v>
                </c:pt>
                <c:pt idx="13">
                  <c:v>32.525576065029661</c:v>
                </c:pt>
                <c:pt idx="14">
                  <c:v>38.811649554805456</c:v>
                </c:pt>
                <c:pt idx="15">
                  <c:v>45.120279452214618</c:v>
                </c:pt>
                <c:pt idx="16">
                  <c:v>51.421825874743845</c:v>
                </c:pt>
                <c:pt idx="17">
                  <c:v>57.67361214014722</c:v>
                </c:pt>
                <c:pt idx="18">
                  <c:v>63.802806553212719</c:v>
                </c:pt>
                <c:pt idx="19">
                  <c:v>69.661708789073387</c:v>
                </c:pt>
                <c:pt idx="20">
                  <c:v>74.896209861268446</c:v>
                </c:pt>
                <c:pt idx="21">
                  <c:v>78.579371419008623</c:v>
                </c:pt>
                <c:pt idx="22">
                  <c:v>79.003318972180139</c:v>
                </c:pt>
                <c:pt idx="23">
                  <c:v>75.870310686849052</c:v>
                </c:pt>
                <c:pt idx="24">
                  <c:v>70.860949991917138</c:v>
                </c:pt>
                <c:pt idx="25">
                  <c:v>65.094883954309452</c:v>
                </c:pt>
                <c:pt idx="26">
                  <c:v>59.007337645328676</c:v>
                </c:pt>
                <c:pt idx="27">
                  <c:v>52.774221887921094</c:v>
                </c:pt>
                <c:pt idx="28">
                  <c:v>46.479116372017359</c:v>
                </c:pt>
                <c:pt idx="29">
                  <c:v>40.169214292876717</c:v>
                </c:pt>
                <c:pt idx="30">
                  <c:v>33.876129580254307</c:v>
                </c:pt>
                <c:pt idx="31">
                  <c:v>27.624782168712706</c:v>
                </c:pt>
                <c:pt idx="32">
                  <c:v>21.437795950853697</c:v>
                </c:pt>
              </c:numCache>
            </c:numRef>
          </c:yVal>
          <c:smooth val="1"/>
          <c:extLst>
            <c:ext xmlns:c16="http://schemas.microsoft.com/office/drawing/2014/chart" uri="{C3380CC4-5D6E-409C-BE32-E72D297353CC}">
              <c16:uniqueId val="{00000004-605D-A443-9B3A-36C31A2CF84A}"/>
            </c:ext>
          </c:extLst>
        </c:ser>
        <c:ser>
          <c:idx val="20"/>
          <c:order val="7"/>
          <c:tx>
            <c:strRef>
              <c:f>MODS!$W$11</c:f>
              <c:strCache>
                <c:ptCount val="1"/>
                <c:pt idx="0">
                  <c:v>SCAT-2024pjl</c:v>
                </c:pt>
              </c:strCache>
            </c:strRef>
          </c:tx>
          <c:spPr>
            <a:ln w="12700" cap="rnd">
              <a:solidFill>
                <a:srgbClr val="FF000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MODS!$BG$5:$BG$37</c:f>
              <c:numCache>
                <c:formatCode>0</c:formatCode>
                <c:ptCount val="33"/>
                <c:pt idx="0">
                  <c:v>38.483940167110454</c:v>
                </c:pt>
                <c:pt idx="1">
                  <c:v>42.740989734257496</c:v>
                </c:pt>
                <c:pt idx="2">
                  <c:v>46.250579678315333</c:v>
                </c:pt>
                <c:pt idx="3">
                  <c:v>48.816526785566701</c:v>
                </c:pt>
                <c:pt idx="4">
                  <c:v>50.252496798231469</c:v>
                </c:pt>
                <c:pt idx="5">
                  <c:v>50.433619178831158</c:v>
                </c:pt>
                <c:pt idx="6">
                  <c:v>49.342923908501724</c:v>
                </c:pt>
                <c:pt idx="7">
                  <c:v>47.078391075070428</c:v>
                </c:pt>
                <c:pt idx="8">
                  <c:v>43.814685319223919</c:v>
                </c:pt>
                <c:pt idx="9">
                  <c:v>39.749510189098416</c:v>
                </c:pt>
                <c:pt idx="10">
                  <c:v>35.064906699398428</c:v>
                </c:pt>
                <c:pt idx="11">
                  <c:v>29.910982408767634</c:v>
                </c:pt>
                <c:pt idx="12">
                  <c:v>24.404744401978366</c:v>
                </c:pt>
                <c:pt idx="13">
                  <c:v>18.635370833352916</c:v>
                </c:pt>
                <c:pt idx="14">
                  <c:v>12.670831025146448</c:v>
                </c:pt>
                <c:pt idx="15">
                  <c:v>6.5638160514029718</c:v>
                </c:pt>
                <c:pt idx="16">
                  <c:v>0.35651629038373656</c:v>
                </c:pt>
                <c:pt idx="17">
                  <c:v>-5.9156010443437497</c:v>
                </c:pt>
                <c:pt idx="18">
                  <c:v>-12.220674791506177</c:v>
                </c:pt>
                <c:pt idx="19">
                  <c:v>-18.527605524792175</c:v>
                </c:pt>
                <c:pt idx="20">
                  <c:v>-24.803050270659345</c:v>
                </c:pt>
                <c:pt idx="21">
                  <c:v>-31.007704859920722</c:v>
                </c:pt>
                <c:pt idx="22">
                  <c:v>-37.091069685709762</c:v>
                </c:pt>
                <c:pt idx="23">
                  <c:v>-42.983434605113551</c:v>
                </c:pt>
                <c:pt idx="24">
                  <c:v>-48.583132520904051</c:v>
                </c:pt>
                <c:pt idx="25">
                  <c:v>-53.736606808279163</c:v>
                </c:pt>
                <c:pt idx="26">
                  <c:v>-58.210805825871333</c:v>
                </c:pt>
                <c:pt idx="27">
                  <c:v>-61.669634852599025</c:v>
                </c:pt>
                <c:pt idx="28">
                  <c:v>-63.70056485804578</c:v>
                </c:pt>
                <c:pt idx="29">
                  <c:v>-63.962668363790094</c:v>
                </c:pt>
                <c:pt idx="30">
                  <c:v>-62.404968792578053</c:v>
                </c:pt>
                <c:pt idx="31">
                  <c:v>-59.306166812394622</c:v>
                </c:pt>
                <c:pt idx="32">
                  <c:v>-55.079713352717356</c:v>
                </c:pt>
              </c:numCache>
            </c:numRef>
          </c:yVal>
          <c:smooth val="1"/>
          <c:extLst>
            <c:ext xmlns:c16="http://schemas.microsoft.com/office/drawing/2014/chart" uri="{C3380CC4-5D6E-409C-BE32-E72D297353CC}">
              <c16:uniqueId val="{00000007-605D-A443-9B3A-36C31A2CF84A}"/>
            </c:ext>
          </c:extLst>
        </c:ser>
        <c:ser>
          <c:idx val="21"/>
          <c:order val="8"/>
          <c:tx>
            <c:strRef>
              <c:f>MODS!$W$12</c:f>
              <c:strCache>
                <c:ptCount val="1"/>
                <c:pt idx="0">
                  <c:v>SCAT-2024inv</c:v>
                </c:pt>
              </c:strCache>
            </c:strRef>
          </c:tx>
          <c:spPr>
            <a:ln w="9525" cap="rnd">
              <a:solidFill>
                <a:schemeClr val="accent4">
                  <a:lumMod val="80000"/>
                </a:schemeClr>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MODS!$BH$5:$BH$37</c:f>
              <c:numCache>
                <c:formatCode>0</c:formatCode>
                <c:ptCount val="33"/>
                <c:pt idx="0">
                  <c:v>-28.021316471290401</c:v>
                </c:pt>
                <c:pt idx="1">
                  <c:v>-22.818337952578389</c:v>
                </c:pt>
                <c:pt idx="2">
                  <c:v>-17.299338722183506</c:v>
                </c:pt>
                <c:pt idx="3">
                  <c:v>-11.537386492773786</c:v>
                </c:pt>
                <c:pt idx="4">
                  <c:v>-5.589860710795536</c:v>
                </c:pt>
                <c:pt idx="5">
                  <c:v>0.49746051480167275</c:v>
                </c:pt>
                <c:pt idx="6">
                  <c:v>6.6869462417455221</c:v>
                </c:pt>
                <c:pt idx="7">
                  <c:v>12.946204550146815</c:v>
                </c:pt>
                <c:pt idx="8">
                  <c:v>19.245485102109349</c:v>
                </c:pt>
                <c:pt idx="9">
                  <c:v>25.555066735838274</c:v>
                </c:pt>
                <c:pt idx="10">
                  <c:v>31.842177506519228</c:v>
                </c:pt>
                <c:pt idx="11">
                  <c:v>38.066739683702011</c:v>
                </c:pt>
                <c:pt idx="12">
                  <c:v>44.174709342664009</c:v>
                </c:pt>
                <c:pt idx="13">
                  <c:v>50.086746501897544</c:v>
                </c:pt>
                <c:pt idx="14">
                  <c:v>55.678101645716765</c:v>
                </c:pt>
                <c:pt idx="15">
                  <c:v>60.743395626956541</c:v>
                </c:pt>
                <c:pt idx="16">
                  <c:v>64.943503409711511</c:v>
                </c:pt>
                <c:pt idx="17">
                  <c:v>67.768593470039391</c:v>
                </c:pt>
                <c:pt idx="18">
                  <c:v>68.657180188390925</c:v>
                </c:pt>
                <c:pt idx="19">
                  <c:v>67.377705359922402</c:v>
                </c:pt>
                <c:pt idx="20">
                  <c:v>64.254151302372676</c:v>
                </c:pt>
                <c:pt idx="21">
                  <c:v>59.860889774534904</c:v>
                </c:pt>
                <c:pt idx="22">
                  <c:v>54.677712266834781</c:v>
                </c:pt>
                <c:pt idx="23">
                  <c:v>49.014703452748599</c:v>
                </c:pt>
                <c:pt idx="24">
                  <c:v>43.058813041902198</c:v>
                </c:pt>
                <c:pt idx="25">
                  <c:v>36.924298812720941</c:v>
                </c:pt>
                <c:pt idx="26">
                  <c:v>30.684650900528961</c:v>
                </c:pt>
                <c:pt idx="27">
                  <c:v>24.390662298118876</c:v>
                </c:pt>
                <c:pt idx="28">
                  <c:v>18.080654417675252</c:v>
                </c:pt>
                <c:pt idx="29">
                  <c:v>11.786562995096739</c:v>
                </c:pt>
                <c:pt idx="30">
                  <c:v>5.5379041529229873</c:v>
                </c:pt>
                <c:pt idx="31">
                  <c:v>-0.6352750834366534</c:v>
                </c:pt>
                <c:pt idx="32">
                  <c:v>-6.6998163169914742</c:v>
                </c:pt>
              </c:numCache>
            </c:numRef>
          </c:yVal>
          <c:smooth val="1"/>
          <c:extLst>
            <c:ext xmlns:c16="http://schemas.microsoft.com/office/drawing/2014/chart" uri="{C3380CC4-5D6E-409C-BE32-E72D297353CC}">
              <c16:uniqueId val="{00000028-605D-A443-9B3A-36C31A2CF84A}"/>
            </c:ext>
          </c:extLst>
        </c:ser>
        <c:ser>
          <c:idx val="22"/>
          <c:order val="9"/>
          <c:tx>
            <c:strRef>
              <c:f>MODS!$W$13</c:f>
              <c:strCache>
                <c:ptCount val="1"/>
                <c:pt idx="0">
                  <c:v>g191b2b</c:v>
                </c:pt>
              </c:strCache>
            </c:strRef>
          </c:tx>
          <c:spPr>
            <a:ln w="12700" cap="rnd">
              <a:solidFill>
                <a:srgbClr val="FF000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MODS!$BI$5:$BI$37</c:f>
              <c:numCache>
                <c:formatCode>0</c:formatCode>
                <c:ptCount val="33"/>
                <c:pt idx="0">
                  <c:v>52.740388403573697</c:v>
                </c:pt>
                <c:pt idx="1">
                  <c:v>57.027857377765542</c:v>
                </c:pt>
                <c:pt idx="2">
                  <c:v>61.042627694452932</c:v>
                </c:pt>
                <c:pt idx="3">
                  <c:v>64.611099710494642</c:v>
                </c:pt>
                <c:pt idx="4">
                  <c:v>67.482607409669384</c:v>
                </c:pt>
                <c:pt idx="5">
                  <c:v>69.336156775232084</c:v>
                </c:pt>
                <c:pt idx="6">
                  <c:v>69.871875432916141</c:v>
                </c:pt>
                <c:pt idx="7">
                  <c:v>68.984459850529959</c:v>
                </c:pt>
                <c:pt idx="8">
                  <c:v>66.843368629443049</c:v>
                </c:pt>
                <c:pt idx="9">
                  <c:v>63.768570622660562</c:v>
                </c:pt>
                <c:pt idx="10">
                  <c:v>60.067645836718881</c:v>
                </c:pt>
                <c:pt idx="11">
                  <c:v>55.970612411117038</c:v>
                </c:pt>
                <c:pt idx="12">
                  <c:v>51.634792354825258</c:v>
                </c:pt>
                <c:pt idx="13">
                  <c:v>47.167063452305172</c:v>
                </c:pt>
                <c:pt idx="14">
                  <c:v>42.642724290572041</c:v>
                </c:pt>
                <c:pt idx="15">
                  <c:v>38.118048733560371</c:v>
                </c:pt>
                <c:pt idx="16">
                  <c:v>33.638106007651494</c:v>
                </c:pt>
                <c:pt idx="17">
                  <c:v>29.241601657996871</c:v>
                </c:pt>
                <c:pt idx="18">
                  <c:v>24.963924482649972</c:v>
                </c:pt>
                <c:pt idx="19">
                  <c:v>20.839101306750873</c:v>
                </c:pt>
                <c:pt idx="20">
                  <c:v>16.901051217696054</c:v>
                </c:pt>
                <c:pt idx="21">
                  <c:v>13.184343951493871</c:v>
                </c:pt>
                <c:pt idx="22">
                  <c:v>9.7245547532759939</c:v>
                </c:pt>
                <c:pt idx="23">
                  <c:v>6.5582408806425709</c:v>
                </c:pt>
                <c:pt idx="24">
                  <c:v>3.722529296308875</c:v>
                </c:pt>
                <c:pt idx="25">
                  <c:v>1.2542974042325394</c:v>
                </c:pt>
                <c:pt idx="26">
                  <c:v>-0.8110497278087152</c:v>
                </c:pt>
                <c:pt idx="27">
                  <c:v>-2.441150644923114</c:v>
                </c:pt>
                <c:pt idx="28">
                  <c:v>-3.6084769995034138</c:v>
                </c:pt>
                <c:pt idx="29">
                  <c:v>-4.2921303616904538</c:v>
                </c:pt>
                <c:pt idx="30">
                  <c:v>-4.479379421367593</c:v>
                </c:pt>
                <c:pt idx="31">
                  <c:v>-4.1666711221259449</c:v>
                </c:pt>
                <c:pt idx="32">
                  <c:v>-3.3599230537943785</c:v>
                </c:pt>
              </c:numCache>
            </c:numRef>
          </c:yVal>
          <c:smooth val="1"/>
          <c:extLst>
            <c:ext xmlns:c16="http://schemas.microsoft.com/office/drawing/2014/chart" uri="{C3380CC4-5D6E-409C-BE32-E72D297353CC}">
              <c16:uniqueId val="{00000029-605D-A443-9B3A-36C31A2CF84A}"/>
            </c:ext>
          </c:extLst>
        </c:ser>
        <c:ser>
          <c:idx val="23"/>
          <c:order val="10"/>
          <c:tx>
            <c:strRef>
              <c:f>MODS!$W$14</c:f>
              <c:strCache>
                <c:ptCount val="1"/>
                <c:pt idx="0">
                  <c:v>U4115-dw2</c:v>
                </c:pt>
              </c:strCache>
            </c:strRef>
          </c:tx>
          <c:spPr>
            <a:ln w="12700" cap="rnd">
              <a:solidFill>
                <a:srgbClr val="0070C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MODS!$BJ$5:$BJ$37</c:f>
              <c:numCache>
                <c:formatCode>0</c:formatCode>
                <c:ptCount val="33"/>
                <c:pt idx="0">
                  <c:v>9.7782261875369016</c:v>
                </c:pt>
                <c:pt idx="1">
                  <c:v>16.009092613396618</c:v>
                </c:pt>
                <c:pt idx="2">
                  <c:v>22.292669081441705</c:v>
                </c:pt>
                <c:pt idx="3">
                  <c:v>28.600981857965639</c:v>
                </c:pt>
                <c:pt idx="4">
                  <c:v>34.903575055378809</c:v>
                </c:pt>
                <c:pt idx="5">
                  <c:v>41.163390459302605</c:v>
                </c:pt>
                <c:pt idx="6">
                  <c:v>47.330016788270491</c:v>
                </c:pt>
                <c:pt idx="7">
                  <c:v>53.32747619403122</c:v>
                </c:pt>
                <c:pt idx="8">
                  <c:v>59.030664994759896</c:v>
                </c:pt>
                <c:pt idx="9">
                  <c:v>64.219158723161684</c:v>
                </c:pt>
                <c:pt idx="10">
                  <c:v>68.495739496291492</c:v>
                </c:pt>
                <c:pt idx="11">
                  <c:v>71.210616704774196</c:v>
                </c:pt>
                <c:pt idx="12">
                  <c:v>71.648156586031703</c:v>
                </c:pt>
                <c:pt idx="13">
                  <c:v>69.659712338851776</c:v>
                </c:pt>
                <c:pt idx="14">
                  <c:v>65.841528811581455</c:v>
                </c:pt>
                <c:pt idx="15">
                  <c:v>60.913802123950987</c:v>
                </c:pt>
                <c:pt idx="16">
                  <c:v>55.358115827873014</c:v>
                </c:pt>
                <c:pt idx="17">
                  <c:v>49.445474816164314</c:v>
                </c:pt>
                <c:pt idx="18">
                  <c:v>43.327356616488998</c:v>
                </c:pt>
                <c:pt idx="19">
                  <c:v>37.093340400778956</c:v>
                </c:pt>
                <c:pt idx="20">
                  <c:v>30.800953119140157</c:v>
                </c:pt>
                <c:pt idx="21">
                  <c:v>24.490944094640511</c:v>
                </c:pt>
                <c:pt idx="22">
                  <c:v>18.195508153248344</c:v>
                </c:pt>
                <c:pt idx="23">
                  <c:v>11.943113786791313</c:v>
                </c:pt>
                <c:pt idx="24">
                  <c:v>5.7617117930414619</c:v>
                </c:pt>
                <c:pt idx="25">
                  <c:v>-0.3187640128336689</c:v>
                </c:pt>
                <c:pt idx="26">
                  <c:v>-6.2640901360702443</c:v>
                </c:pt>
                <c:pt idx="27">
                  <c:v>-12.033317916789906</c:v>
                </c:pt>
                <c:pt idx="28">
                  <c:v>-17.576000381936904</c:v>
                </c:pt>
                <c:pt idx="29">
                  <c:v>-22.828998963404381</c:v>
                </c:pt>
                <c:pt idx="30">
                  <c:v>-27.713026240772265</c:v>
                </c:pt>
                <c:pt idx="31">
                  <c:v>-32.129569468851599</c:v>
                </c:pt>
                <c:pt idx="32">
                  <c:v>-35.959721978806179</c:v>
                </c:pt>
              </c:numCache>
            </c:numRef>
          </c:yVal>
          <c:smooth val="1"/>
          <c:extLst>
            <c:ext xmlns:c16="http://schemas.microsoft.com/office/drawing/2014/chart" uri="{C3380CC4-5D6E-409C-BE32-E72D297353CC}">
              <c16:uniqueId val="{0000002A-605D-A443-9B3A-36C31A2CF84A}"/>
            </c:ext>
          </c:extLst>
        </c:ser>
        <c:ser>
          <c:idx val="24"/>
          <c:order val="11"/>
          <c:tx>
            <c:strRef>
              <c:f>MODS!$W$15</c:f>
              <c:strCache>
                <c:ptCount val="1"/>
                <c:pt idx="0">
                  <c:v>U4115-dw1</c:v>
                </c:pt>
              </c:strCache>
            </c:strRef>
          </c:tx>
          <c:spPr>
            <a:ln w="12700" cap="rnd">
              <a:solidFill>
                <a:srgbClr val="FF000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MODS!$BK$5:$BK$37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2B-605D-A443-9B3A-36C31A2CF84A}"/>
            </c:ext>
          </c:extLst>
        </c:ser>
        <c:ser>
          <c:idx val="25"/>
          <c:order val="12"/>
          <c:tx>
            <c:strRef>
              <c:f>MODS!$W$16</c:f>
              <c:strCache>
                <c:ptCount val="1"/>
                <c:pt idx="0">
                  <c:v>U4426-dw1</c:v>
                </c:pt>
              </c:strCache>
            </c:strRef>
          </c:tx>
          <c:spPr>
            <a:ln w="12700" cap="rnd">
              <a:solidFill>
                <a:srgbClr val="FF000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MODS!$BL$5:$BL$37</c:f>
              <c:numCache>
                <c:formatCode>0</c:formatCode>
                <c:ptCount val="33"/>
                <c:pt idx="0">
                  <c:v>18.358657088545236</c:v>
                </c:pt>
                <c:pt idx="1">
                  <c:v>23.427985436104727</c:v>
                </c:pt>
                <c:pt idx="2">
                  <c:v>28.654831178940796</c:v>
                </c:pt>
                <c:pt idx="3">
                  <c:v>34.01221031261889</c:v>
                </c:pt>
                <c:pt idx="4">
                  <c:v>39.47512811308917</c:v>
                </c:pt>
                <c:pt idx="5">
                  <c:v>45.019385384368462</c:v>
                </c:pt>
                <c:pt idx="6">
                  <c:v>50.61979036983417</c:v>
                </c:pt>
                <c:pt idx="7">
                  <c:v>56.247050068142293</c:v>
                </c:pt>
                <c:pt idx="8">
                  <c:v>61.8614733374351</c:v>
                </c:pt>
                <c:pt idx="9">
                  <c:v>67.398144362265427</c:v>
                </c:pt>
                <c:pt idx="10">
                  <c:v>72.72612836494072</c:v>
                </c:pt>
                <c:pt idx="11">
                  <c:v>77.517799909506351</c:v>
                </c:pt>
                <c:pt idx="12">
                  <c:v>80.834060657184125</c:v>
                </c:pt>
                <c:pt idx="13">
                  <c:v>80.863972313425364</c:v>
                </c:pt>
                <c:pt idx="14">
                  <c:v>77.583622594465481</c:v>
                </c:pt>
                <c:pt idx="15">
                  <c:v>72.805038600910137</c:v>
                </c:pt>
                <c:pt idx="16">
                  <c:v>67.481995750159456</c:v>
                </c:pt>
                <c:pt idx="17">
                  <c:v>61.947277502983511</c:v>
                </c:pt>
                <c:pt idx="18">
                  <c:v>56.333461349426422</c:v>
                </c:pt>
                <c:pt idx="19">
                  <c:v>50.706059695498553</c:v>
                </c:pt>
                <c:pt idx="20">
                  <c:v>45.1050048414603</c:v>
                </c:pt>
                <c:pt idx="21">
                  <c:v>39.55968962243422</c:v>
                </c:pt>
                <c:pt idx="22">
                  <c:v>34.095340370224662</c:v>
                </c:pt>
                <c:pt idx="23">
                  <c:v>28.736155868639038</c:v>
                </c:pt>
                <c:pt idx="24">
                  <c:v>23.507108596177591</c:v>
                </c:pt>
                <c:pt idx="25">
                  <c:v>18.435144683131135</c:v>
                </c:pt>
                <c:pt idx="26">
                  <c:v>13.550084631292354</c:v>
                </c:pt>
                <c:pt idx="27">
                  <c:v>8.8853373762937551</c:v>
                </c:pt>
                <c:pt idx="28">
                  <c:v>4.4784377201537406</c:v>
                </c:pt>
                <c:pt idx="29">
                  <c:v>0.37134434589640414</c:v>
                </c:pt>
                <c:pt idx="30">
                  <c:v>-3.3896270622639806</c:v>
                </c:pt>
                <c:pt idx="31">
                  <c:v>-6.7544132312488259</c:v>
                </c:pt>
                <c:pt idx="32">
                  <c:v>-9.6705572893456893</c:v>
                </c:pt>
              </c:numCache>
            </c:numRef>
          </c:yVal>
          <c:smooth val="1"/>
          <c:extLst>
            <c:ext xmlns:c16="http://schemas.microsoft.com/office/drawing/2014/chart" uri="{C3380CC4-5D6E-409C-BE32-E72D297353CC}">
              <c16:uniqueId val="{0000002C-605D-A443-9B3A-36C31A2CF84A}"/>
            </c:ext>
          </c:extLst>
        </c:ser>
        <c:ser>
          <c:idx val="26"/>
          <c:order val="13"/>
          <c:tx>
            <c:strRef>
              <c:f>MODS!$W$17</c:f>
              <c:strCache>
                <c:ptCount val="1"/>
                <c:pt idx="0">
                  <c:v>N3738-dw7</c:v>
                </c:pt>
              </c:strCache>
            </c:strRef>
          </c:tx>
          <c:spPr>
            <a:ln w="12700" cap="rnd">
              <a:solidFill>
                <a:schemeClr val="accent3">
                  <a:lumMod val="60000"/>
                  <a:lumOff val="40000"/>
                </a:schemeClr>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MODS!$BM$5:$BM$37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2D-605D-A443-9B3A-36C31A2CF84A}"/>
            </c:ext>
          </c:extLst>
        </c:ser>
        <c:ser>
          <c:idx val="27"/>
          <c:order val="14"/>
          <c:tx>
            <c:strRef>
              <c:f>MODS!$W$18</c:f>
              <c:strCache>
                <c:ptCount val="1"/>
                <c:pt idx="0">
                  <c:v>N3738-dw10</c:v>
                </c:pt>
              </c:strCache>
            </c:strRef>
          </c:tx>
          <c:spPr>
            <a:ln w="12700" cap="rnd">
              <a:solidFill>
                <a:srgbClr val="0070C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MODS!$BN$5:$BN$37</c:f>
              <c:numCache>
                <c:formatCode>0</c:formatCode>
                <c:ptCount val="33"/>
                <c:pt idx="0">
                  <c:v>2.0327228598973206</c:v>
                </c:pt>
                <c:pt idx="1">
                  <c:v>4.4779783642317863</c:v>
                </c:pt>
                <c:pt idx="2">
                  <c:v>7.2838058925358782</c:v>
                </c:pt>
                <c:pt idx="3">
                  <c:v>10.414137938722</c:v>
                </c:pt>
                <c:pt idx="4">
                  <c:v>13.832549109210939</c:v>
                </c:pt>
                <c:pt idx="5">
                  <c:v>17.503024157929111</c:v>
                </c:pt>
                <c:pt idx="6">
                  <c:v>21.39033448523195</c:v>
                </c:pt>
                <c:pt idx="7">
                  <c:v>25.46003411346646</c:v>
                </c:pt>
                <c:pt idx="8">
                  <c:v>29.678077566196546</c:v>
                </c:pt>
                <c:pt idx="9">
                  <c:v>34.010026389968637</c:v>
                </c:pt>
                <c:pt idx="10">
                  <c:v>38.419744325787804</c:v>
                </c:pt>
                <c:pt idx="11">
                  <c:v>42.867370546252509</c:v>
                </c:pt>
                <c:pt idx="12">
                  <c:v>47.306180468172258</c:v>
                </c:pt>
                <c:pt idx="13">
                  <c:v>51.677657828393677</c:v>
                </c:pt>
                <c:pt idx="14">
                  <c:v>55.903694570518041</c:v>
                </c:pt>
                <c:pt idx="15">
                  <c:v>59.874478715956002</c:v>
                </c:pt>
                <c:pt idx="16">
                  <c:v>63.431314491954296</c:v>
                </c:pt>
                <c:pt idx="17">
                  <c:v>66.348835294614076</c:v>
                </c:pt>
                <c:pt idx="18">
                  <c:v>68.337809009527021</c:v>
                </c:pt>
                <c:pt idx="19">
                  <c:v>69.112864968259387</c:v>
                </c:pt>
                <c:pt idx="20">
                  <c:v>68.535652244782582</c:v>
                </c:pt>
                <c:pt idx="21">
                  <c:v>66.710854967299696</c:v>
                </c:pt>
                <c:pt idx="22">
                  <c:v>63.911984632476404</c:v>
                </c:pt>
                <c:pt idx="23">
                  <c:v>60.434169790863017</c:v>
                </c:pt>
                <c:pt idx="24">
                  <c:v>56.513448860973426</c:v>
                </c:pt>
                <c:pt idx="25">
                  <c:v>52.317445373207192</c:v>
                </c:pt>
                <c:pt idx="26">
                  <c:v>47.962041621036306</c:v>
                </c:pt>
                <c:pt idx="27">
                  <c:v>43.529169610745555</c:v>
                </c:pt>
                <c:pt idx="28">
                  <c:v>39.079677503151153</c:v>
                </c:pt>
                <c:pt idx="29">
                  <c:v>34.661676008814617</c:v>
                </c:pt>
                <c:pt idx="30">
                  <c:v>30.315813759070519</c:v>
                </c:pt>
                <c:pt idx="31">
                  <c:v>26.078631045698252</c:v>
                </c:pt>
                <c:pt idx="32">
                  <c:v>21.984721721086686</c:v>
                </c:pt>
              </c:numCache>
            </c:numRef>
          </c:yVal>
          <c:smooth val="1"/>
          <c:extLst>
            <c:ext xmlns:c16="http://schemas.microsoft.com/office/drawing/2014/chart" uri="{C3380CC4-5D6E-409C-BE32-E72D297353CC}">
              <c16:uniqueId val="{0000002E-605D-A443-9B3A-36C31A2CF84A}"/>
            </c:ext>
          </c:extLst>
        </c:ser>
        <c:ser>
          <c:idx val="28"/>
          <c:order val="15"/>
          <c:tx>
            <c:strRef>
              <c:f>MODS!$W$19</c:f>
              <c:strCache>
                <c:ptCount val="1"/>
                <c:pt idx="0">
                  <c:v>N4236-dw13</c:v>
                </c:pt>
              </c:strCache>
            </c:strRef>
          </c:tx>
          <c:spPr>
            <a:ln w="12700" cap="rnd">
              <a:solidFill>
                <a:srgbClr val="FF0000"/>
              </a:solidFill>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MODS!$BO$5:$BO$37</c:f>
              <c:numCache>
                <c:formatCode>0</c:formatCode>
                <c:ptCount val="33"/>
                <c:pt idx="0">
                  <c:v>14.576783689901255</c:v>
                </c:pt>
                <c:pt idx="1">
                  <c:v>15.821014826887204</c:v>
                </c:pt>
                <c:pt idx="2">
                  <c:v>17.312968782122265</c:v>
                </c:pt>
                <c:pt idx="3">
                  <c:v>19.033665621454553</c:v>
                </c:pt>
                <c:pt idx="4">
                  <c:v>20.961651053972655</c:v>
                </c:pt>
                <c:pt idx="5">
                  <c:v>23.073273001331703</c:v>
                </c:pt>
                <c:pt idx="6">
                  <c:v>25.342861455291548</c:v>
                </c:pt>
                <c:pt idx="7">
                  <c:v>27.742784830541684</c:v>
                </c:pt>
                <c:pt idx="8">
                  <c:v>30.24336362362002</c:v>
                </c:pt>
                <c:pt idx="9">
                  <c:v>32.812630256019617</c:v>
                </c:pt>
                <c:pt idx="10">
                  <c:v>35.415934322512854</c:v>
                </c:pt>
                <c:pt idx="11">
                  <c:v>38.015409032788106</c:v>
                </c:pt>
                <c:pt idx="12">
                  <c:v>40.569344071393886</c:v>
                </c:pt>
                <c:pt idx="13">
                  <c:v>43.031561851534256</c:v>
                </c:pt>
                <c:pt idx="14">
                  <c:v>45.350978501531614</c:v>
                </c:pt>
                <c:pt idx="15">
                  <c:v>47.471651634866717</c:v>
                </c:pt>
                <c:pt idx="16">
                  <c:v>49.333753409987509</c:v>
                </c:pt>
                <c:pt idx="17">
                  <c:v>50.875985784871006</c:v>
                </c:pt>
                <c:pt idx="18">
                  <c:v>52.039828294426592</c:v>
                </c:pt>
                <c:pt idx="19">
                  <c:v>52.775506189126958</c:v>
                </c:pt>
                <c:pt idx="20">
                  <c:v>53.048679291450199</c:v>
                </c:pt>
                <c:pt idx="21">
                  <c:v>52.845974062293706</c:v>
                </c:pt>
                <c:pt idx="22">
                  <c:v>52.177347582849507</c:v>
                </c:pt>
                <c:pt idx="23">
                  <c:v>51.074316182661306</c:v>
                </c:pt>
                <c:pt idx="24">
                  <c:v>49.584779227978878</c:v>
                </c:pt>
                <c:pt idx="25">
                  <c:v>47.766368144497882</c:v>
                </c:pt>
                <c:pt idx="26">
                  <c:v>45.680283331717696</c:v>
                </c:pt>
                <c:pt idx="27">
                  <c:v>43.386765527327171</c:v>
                </c:pt>
                <c:pt idx="28">
                  <c:v>40.942425513712294</c:v>
                </c:pt>
                <c:pt idx="29">
                  <c:v>38.399089453922713</c:v>
                </c:pt>
                <c:pt idx="30">
                  <c:v>35.803644386317004</c:v>
                </c:pt>
                <c:pt idx="31">
                  <c:v>33.198427307552151</c:v>
                </c:pt>
                <c:pt idx="32">
                  <c:v>30.621835464333198</c:v>
                </c:pt>
              </c:numCache>
            </c:numRef>
          </c:yVal>
          <c:smooth val="1"/>
          <c:extLst>
            <c:ext xmlns:c16="http://schemas.microsoft.com/office/drawing/2014/chart" uri="{C3380CC4-5D6E-409C-BE32-E72D297353CC}">
              <c16:uniqueId val="{0000002F-605D-A443-9B3A-36C31A2CF84A}"/>
            </c:ext>
          </c:extLst>
        </c:ser>
        <c:ser>
          <c:idx val="29"/>
          <c:order val="16"/>
          <c:tx>
            <c:strRef>
              <c:f>MODS!$W$20</c:f>
              <c:strCache>
                <c:ptCount val="1"/>
                <c:pt idx="0">
                  <c:v>I4182-dw13</c:v>
                </c:pt>
              </c:strCache>
            </c:strRef>
          </c:tx>
          <c:spPr>
            <a:ln w="12700" cap="rnd">
              <a:solidFill>
                <a:srgbClr val="FF0000"/>
              </a:solidFill>
              <a:prstDash val="solid"/>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MODS!$BP$5:$BP$37</c:f>
              <c:numCache>
                <c:formatCode>0</c:formatCode>
                <c:ptCount val="33"/>
                <c:pt idx="0">
                  <c:v>-16.298372647067296</c:v>
                </c:pt>
                <c:pt idx="1">
                  <c:v>-14.444008055039395</c:v>
                </c:pt>
                <c:pt idx="2">
                  <c:v>-12.012447972583042</c:v>
                </c:pt>
                <c:pt idx="3">
                  <c:v>-9.0570332485533385</c:v>
                </c:pt>
                <c:pt idx="4">
                  <c:v>-5.6344589713931077</c:v>
                </c:pt>
                <c:pt idx="5">
                  <c:v>-1.80106829706972</c:v>
                </c:pt>
                <c:pt idx="6">
                  <c:v>2.3897217544288121</c:v>
                </c:pt>
                <c:pt idx="7">
                  <c:v>6.8889175263099345</c:v>
                </c:pt>
                <c:pt idx="8">
                  <c:v>11.652588094511904</c:v>
                </c:pt>
                <c:pt idx="9">
                  <c:v>16.641903792468604</c:v>
                </c:pt>
                <c:pt idx="10">
                  <c:v>21.822796483109322</c:v>
                </c:pt>
                <c:pt idx="11">
                  <c:v>27.165401845941851</c:v>
                </c:pt>
                <c:pt idx="12">
                  <c:v>32.643377897135245</c:v>
                </c:pt>
                <c:pt idx="13">
                  <c:v>38.23313001692577</c:v>
                </c:pt>
                <c:pt idx="14">
                  <c:v>43.912900841294764</c:v>
                </c:pt>
                <c:pt idx="15">
                  <c:v>49.661570738271294</c:v>
                </c:pt>
                <c:pt idx="16">
                  <c:v>55.456771234212141</c:v>
                </c:pt>
                <c:pt idx="17">
                  <c:v>61.27126050585165</c:v>
                </c:pt>
                <c:pt idx="18">
                  <c:v>67.064430670633556</c:v>
                </c:pt>
                <c:pt idx="19">
                  <c:v>72.7578481916306</c:v>
                </c:pt>
                <c:pt idx="20">
                  <c:v>78.145411525068795</c:v>
                </c:pt>
                <c:pt idx="21">
                  <c:v>82.469101964834053</c:v>
                </c:pt>
                <c:pt idx="22">
                  <c:v>83.192435396399176</c:v>
                </c:pt>
                <c:pt idx="23">
                  <c:v>79.536805897149677</c:v>
                </c:pt>
                <c:pt idx="24">
                  <c:v>74.323768877489485</c:v>
                </c:pt>
                <c:pt idx="25">
                  <c:v>68.685338069876423</c:v>
                </c:pt>
                <c:pt idx="26">
                  <c:v>62.909543396270436</c:v>
                </c:pt>
                <c:pt idx="27">
                  <c:v>57.096008589322359</c:v>
                </c:pt>
                <c:pt idx="28">
                  <c:v>51.292257269151293</c:v>
                </c:pt>
                <c:pt idx="29">
                  <c:v>45.52807977493849</c:v>
                </c:pt>
                <c:pt idx="30">
                  <c:v>39.826729811114419</c:v>
                </c:pt>
                <c:pt idx="31">
                  <c:v>34.209441523434293</c:v>
                </c:pt>
                <c:pt idx="32">
                  <c:v>28.697651780192547</c:v>
                </c:pt>
              </c:numCache>
            </c:numRef>
          </c:yVal>
          <c:smooth val="1"/>
          <c:extLst>
            <c:ext xmlns:c16="http://schemas.microsoft.com/office/drawing/2014/chart" uri="{C3380CC4-5D6E-409C-BE32-E72D297353CC}">
              <c16:uniqueId val="{00000030-605D-A443-9B3A-36C31A2CF84A}"/>
            </c:ext>
          </c:extLst>
        </c:ser>
        <c:ser>
          <c:idx val="30"/>
          <c:order val="17"/>
          <c:tx>
            <c:strRef>
              <c:f>MODS!$W$21</c:f>
              <c:strCache>
                <c:ptCount val="1"/>
                <c:pt idx="0">
                  <c:v>N4861-dw5</c:v>
                </c:pt>
              </c:strCache>
            </c:strRef>
          </c:tx>
          <c:spPr>
            <a:ln w="12700" cap="rnd">
              <a:solidFill>
                <a:srgbClr val="00B050"/>
              </a:solidFill>
              <a:prstDash val="solid"/>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MODS!$BQ$5:$BQ$37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31-605D-A443-9B3A-36C31A2CF84A}"/>
            </c:ext>
          </c:extLst>
        </c:ser>
        <c:ser>
          <c:idx val="31"/>
          <c:order val="18"/>
          <c:tx>
            <c:strRef>
              <c:f>MODS!$W$22</c:f>
              <c:strCache>
                <c:ptCount val="1"/>
                <c:pt idx="0">
                  <c:v>N5204-dw3</c:v>
                </c:pt>
              </c:strCache>
            </c:strRef>
          </c:tx>
          <c:spPr>
            <a:ln w="12700" cap="rnd">
              <a:solidFill>
                <a:srgbClr val="00B050"/>
              </a:solidFill>
              <a:prstDash val="solid"/>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MODS!$BR$5:$BR$37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32-605D-A443-9B3A-36C31A2CF84A}"/>
            </c:ext>
          </c:extLst>
        </c:ser>
        <c:ser>
          <c:idx val="32"/>
          <c:order val="19"/>
          <c:tx>
            <c:strRef>
              <c:f>MODS!$W$23</c:f>
              <c:strCache>
                <c:ptCount val="1"/>
                <c:pt idx="0">
                  <c:v>N5585-dw11</c:v>
                </c:pt>
              </c:strCache>
            </c:strRef>
          </c:tx>
          <c:spPr>
            <a:ln w="12700" cap="rnd">
              <a:solidFill>
                <a:srgbClr val="0070C0"/>
              </a:solidFill>
              <a:prstDash val="solid"/>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MODS!$BS$5:$BS$37</c:f>
              <c:numCache>
                <c:formatCode>0</c:formatCode>
                <c:ptCount val="33"/>
                <c:pt idx="0">
                  <c:v>-0.80798794664802298</c:v>
                </c:pt>
                <c:pt idx="1">
                  <c:v>-0.84194011085012443</c:v>
                </c:pt>
                <c:pt idx="2">
                  <c:v>-0.42023759509742353</c:v>
                </c:pt>
                <c:pt idx="3">
                  <c:v>0.44985641318339015</c:v>
                </c:pt>
                <c:pt idx="4">
                  <c:v>1.7537334641355524</c:v>
                </c:pt>
                <c:pt idx="5">
                  <c:v>3.4704062292572373</c:v>
                </c:pt>
                <c:pt idx="6">
                  <c:v>5.5737727175146388</c:v>
                </c:pt>
                <c:pt idx="7">
                  <c:v>8.0339883459502275</c:v>
                </c:pt>
                <c:pt idx="8">
                  <c:v>10.818769451569963</c:v>
                </c:pt>
                <c:pt idx="9">
                  <c:v>13.894493401977387</c:v>
                </c:pt>
                <c:pt idx="10">
                  <c:v>17.227010822575103</c:v>
                </c:pt>
                <c:pt idx="11">
                  <c:v>20.782128312455388</c:v>
                </c:pt>
                <c:pt idx="12">
                  <c:v>24.525745602846303</c:v>
                </c:pt>
                <c:pt idx="13">
                  <c:v>28.423635518427776</c:v>
                </c:pt>
                <c:pt idx="14">
                  <c:v>32.440837328628042</c:v>
                </c:pt>
                <c:pt idx="15">
                  <c:v>36.540592724701142</c:v>
                </c:pt>
                <c:pt idx="16">
                  <c:v>40.682684586878437</c:v>
                </c:pt>
                <c:pt idx="17">
                  <c:v>44.820935056484529</c:v>
                </c:pt>
                <c:pt idx="18">
                  <c:v>48.899478599114602</c:v>
                </c:pt>
                <c:pt idx="19">
                  <c:v>52.84727875544386</c:v>
                </c:pt>
                <c:pt idx="20">
                  <c:v>56.570365067198729</c:v>
                </c:pt>
                <c:pt idx="21">
                  <c:v>59.941979706001703</c:v>
                </c:pt>
                <c:pt idx="22">
                  <c:v>62.793650509468407</c:v>
                </c:pt>
                <c:pt idx="23">
                  <c:v>64.917216504697919</c:v>
                </c:pt>
                <c:pt idx="24">
                  <c:v>66.096718629737978</c:v>
                </c:pt>
                <c:pt idx="25">
                  <c:v>66.180641025131663</c:v>
                </c:pt>
                <c:pt idx="26">
                  <c:v>65.157164286141821</c:v>
                </c:pt>
                <c:pt idx="27">
                  <c:v>63.160881268938596</c:v>
                </c:pt>
                <c:pt idx="28">
                  <c:v>60.403549110849376</c:v>
                </c:pt>
                <c:pt idx="29">
                  <c:v>57.097502009866389</c:v>
                </c:pt>
                <c:pt idx="30">
                  <c:v>53.417721341919737</c:v>
                </c:pt>
                <c:pt idx="31">
                  <c:v>49.496708616050725</c:v>
                </c:pt>
                <c:pt idx="32">
                  <c:v>45.432652071157193</c:v>
                </c:pt>
              </c:numCache>
            </c:numRef>
          </c:yVal>
          <c:smooth val="1"/>
          <c:extLst>
            <c:ext xmlns:c16="http://schemas.microsoft.com/office/drawing/2014/chart" uri="{C3380CC4-5D6E-409C-BE32-E72D297353CC}">
              <c16:uniqueId val="{00000033-605D-A443-9B3A-36C31A2CF84A}"/>
            </c:ext>
          </c:extLst>
        </c:ser>
        <c:ser>
          <c:idx val="33"/>
          <c:order val="20"/>
          <c:tx>
            <c:strRef>
              <c:f>MODS!$W$24</c:f>
              <c:strCache>
                <c:ptCount val="1"/>
                <c:pt idx="0">
                  <c:v>N6503-dw6</c:v>
                </c:pt>
              </c:strCache>
            </c:strRef>
          </c:tx>
          <c:spPr>
            <a:ln w="12700" cap="rnd">
              <a:solidFill>
                <a:srgbClr val="0070C0"/>
              </a:solidFill>
              <a:prstDash val="solid"/>
              <a:round/>
            </a:ln>
            <a:effectLst/>
          </c:spPr>
          <c:marker>
            <c:symbol val="none"/>
          </c:marker>
          <c:xVal>
            <c:numRef>
              <c:f>MODS!$AY$5:$AY$37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MODS!$BT$5:$BT$37</c:f>
              <c:numCache>
                <c:formatCode>0</c:formatCode>
                <c:ptCount val="33"/>
                <c:pt idx="0">
                  <c:v>19.071515778088465</c:v>
                </c:pt>
                <c:pt idx="1">
                  <c:v>17.388824511758919</c:v>
                </c:pt>
                <c:pt idx="2">
                  <c:v>15.933968435379221</c:v>
                </c:pt>
                <c:pt idx="3">
                  <c:v>14.725496763795855</c:v>
                </c:pt>
                <c:pt idx="4">
                  <c:v>13.779130979769088</c:v>
                </c:pt>
                <c:pt idx="5">
                  <c:v>13.107415434068809</c:v>
                </c:pt>
                <c:pt idx="6">
                  <c:v>12.719392231434881</c:v>
                </c:pt>
                <c:pt idx="7">
                  <c:v>12.620340839543855</c:v>
                </c:pt>
                <c:pt idx="8">
                  <c:v>12.811615816795198</c:v>
                </c:pt>
                <c:pt idx="9">
                  <c:v>13.290603951432843</c:v>
                </c:pt>
                <c:pt idx="10">
                  <c:v>14.050806498814302</c:v>
                </c:pt>
                <c:pt idx="11">
                  <c:v>15.082035628755067</c:v>
                </c:pt>
                <c:pt idx="12">
                  <c:v>16.370699463365682</c:v>
                </c:pt>
                <c:pt idx="13">
                  <c:v>17.90013948245787</c:v>
                </c:pt>
                <c:pt idx="14">
                  <c:v>19.650978760021047</c:v>
                </c:pt>
                <c:pt idx="15">
                  <c:v>21.601439343034354</c:v>
                </c:pt>
                <c:pt idx="16">
                  <c:v>23.727590951258282</c:v>
                </c:pt>
                <c:pt idx="17">
                  <c:v>26.003499471464806</c:v>
                </c:pt>
                <c:pt idx="18">
                  <c:v>28.401251035839813</c:v>
                </c:pt>
                <c:pt idx="19">
                  <c:v>30.890835156046588</c:v>
                </c:pt>
                <c:pt idx="20">
                  <c:v>33.439878992470177</c:v>
                </c:pt>
                <c:pt idx="21">
                  <c:v>36.013236593710602</c:v>
                </c:pt>
                <c:pt idx="22">
                  <c:v>38.572456218617496</c:v>
                </c:pt>
                <c:pt idx="23">
                  <c:v>41.075182593865151</c:v>
                </c:pt>
                <c:pt idx="24">
                  <c:v>43.47460831423215</c:v>
                </c:pt>
                <c:pt idx="25">
                  <c:v>45.719177908685054</c:v>
                </c:pt>
                <c:pt idx="26">
                  <c:v>47.752867690600226</c:v>
                </c:pt>
                <c:pt idx="27">
                  <c:v>49.516483298021015</c:v>
                </c:pt>
                <c:pt idx="28">
                  <c:v>50.950447997008467</c:v>
                </c:pt>
                <c:pt idx="29">
                  <c:v>51.999349829412992</c:v>
                </c:pt>
                <c:pt idx="30">
                  <c:v>52.617940057965384</c:v>
                </c:pt>
                <c:pt idx="31">
                  <c:v>52.777405752017778</c:v>
                </c:pt>
                <c:pt idx="32">
                  <c:v>52.470042734908297</c:v>
                </c:pt>
              </c:numCache>
            </c:numRef>
          </c:yVal>
          <c:smooth val="1"/>
          <c:extLst>
            <c:ext xmlns:c16="http://schemas.microsoft.com/office/drawing/2014/chart" uri="{C3380CC4-5D6E-409C-BE32-E72D297353CC}">
              <c16:uniqueId val="{00000034-605D-A443-9B3A-36C31A2CF84A}"/>
            </c:ext>
          </c:extLst>
        </c:ser>
        <c:ser>
          <c:idx val="5"/>
          <c:order val="21"/>
          <c:tx>
            <c:v>"sunset"</c:v>
          </c:tx>
          <c:spPr>
            <a:ln w="12700" cap="rnd">
              <a:solidFill>
                <a:srgbClr val="0070C0"/>
              </a:solidFill>
              <a:prstDash val="dash"/>
              <a:round/>
            </a:ln>
            <a:effectLst/>
          </c:spPr>
          <c:marker>
            <c:symbol val="none"/>
          </c:marker>
          <c:dLbls>
            <c:dLbl>
              <c:idx val="0"/>
              <c:tx>
                <c:rich>
                  <a:bodyPr/>
                  <a:lstStyle/>
                  <a:p>
                    <a:fld id="{2BFDE419-55A9-4A43-9200-B2D9A5F0FE7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119-DA4F-B597-618CE15A00D3}"/>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D119-DA4F-B597-618CE15A00D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Calcs!$M$38:$M$39</c:f>
              <c:numCache>
                <c:formatCode>0.00</c:formatCode>
                <c:ptCount val="2"/>
                <c:pt idx="0">
                  <c:v>1.2477250083649842</c:v>
                </c:pt>
                <c:pt idx="1">
                  <c:v>1.2477250083649842</c:v>
                </c:pt>
              </c:numCache>
            </c:numRef>
          </c:xVal>
          <c:yVal>
            <c:numRef>
              <c:f>Calcs!$N$38:$N$39</c:f>
              <c:numCache>
                <c:formatCode>General</c:formatCode>
                <c:ptCount val="2"/>
                <c:pt idx="0">
                  <c:v>0</c:v>
                </c:pt>
                <c:pt idx="1">
                  <c:v>90</c:v>
                </c:pt>
              </c:numCache>
            </c:numRef>
          </c:yVal>
          <c:smooth val="1"/>
          <c:extLst>
            <c:ext xmlns:c15="http://schemas.microsoft.com/office/drawing/2012/chart" uri="{02D57815-91ED-43cb-92C2-25804820EDAC}">
              <c15:datalabelsRange>
                <c15:f>Calcs!$O$38</c15:f>
                <c15:dlblRangeCache>
                  <c:ptCount val="1"/>
                  <c:pt idx="0">
                    <c:v>sunset</c:v>
                  </c:pt>
                </c15:dlblRangeCache>
              </c15:datalabelsRange>
            </c:ext>
            <c:ext xmlns:c16="http://schemas.microsoft.com/office/drawing/2014/chart" uri="{C3380CC4-5D6E-409C-BE32-E72D297353CC}">
              <c16:uniqueId val="{00000005-D119-DA4F-B597-618CE15A00D3}"/>
            </c:ext>
          </c:extLst>
        </c:ser>
        <c:ser>
          <c:idx val="6"/>
          <c:order val="22"/>
          <c:tx>
            <c:v>"30 deg limits"</c:v>
          </c:tx>
          <c:spPr>
            <a:ln w="12700"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Calcs!$N$30:$N$31</c:f>
              <c:numCache>
                <c:formatCode>General</c:formatCode>
                <c:ptCount val="2"/>
                <c:pt idx="0">
                  <c:v>30</c:v>
                </c:pt>
                <c:pt idx="1">
                  <c:v>30</c:v>
                </c:pt>
              </c:numCache>
            </c:numRef>
          </c:yVal>
          <c:smooth val="1"/>
          <c:extLst>
            <c:ext xmlns:c16="http://schemas.microsoft.com/office/drawing/2014/chart" uri="{C3380CC4-5D6E-409C-BE32-E72D297353CC}">
              <c16:uniqueId val="{00000006-D119-DA4F-B597-618CE15A00D3}"/>
            </c:ext>
          </c:extLst>
        </c:ser>
        <c:ser>
          <c:idx val="7"/>
          <c:order val="23"/>
          <c:tx>
            <c:v>"86 deg limits"</c:v>
          </c:tx>
          <c:spPr>
            <a:ln w="12700"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Calcs!$O$30:$O$31</c:f>
              <c:numCache>
                <c:formatCode>General</c:formatCode>
                <c:ptCount val="2"/>
                <c:pt idx="0">
                  <c:v>86</c:v>
                </c:pt>
                <c:pt idx="1">
                  <c:v>86</c:v>
                </c:pt>
              </c:numCache>
            </c:numRef>
          </c:yVal>
          <c:smooth val="1"/>
          <c:extLst>
            <c:ext xmlns:c16="http://schemas.microsoft.com/office/drawing/2014/chart" uri="{C3380CC4-5D6E-409C-BE32-E72D297353CC}">
              <c16:uniqueId val="{00000007-D119-DA4F-B597-618CE15A00D3}"/>
            </c:ext>
          </c:extLst>
        </c:ser>
        <c:ser>
          <c:idx val="8"/>
          <c:order val="24"/>
          <c:tx>
            <c:v>"sunrise"</c:v>
          </c:tx>
          <c:spPr>
            <a:ln w="12700" cap="rnd">
              <a:solidFill>
                <a:schemeClr val="accent4">
                  <a:lumMod val="50000"/>
                </a:schemeClr>
              </a:solidFill>
              <a:prstDash val="dash"/>
              <a:round/>
            </a:ln>
            <a:effectLst/>
          </c:spPr>
          <c:marker>
            <c:symbol val="none"/>
          </c:marker>
          <c:dLbls>
            <c:dLbl>
              <c:idx val="0"/>
              <c:tx>
                <c:rich>
                  <a:bodyPr/>
                  <a:lstStyle/>
                  <a:p>
                    <a:fld id="{98138D22-D326-2647-82AB-0A42737892F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119-DA4F-B597-618CE15A00D3}"/>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D119-DA4F-B597-618CE15A00D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Calcs!$M$40:$M$41</c:f>
              <c:numCache>
                <c:formatCode>0.00</c:formatCode>
                <c:ptCount val="2"/>
                <c:pt idx="0">
                  <c:v>13.82857454377158</c:v>
                </c:pt>
                <c:pt idx="1">
                  <c:v>13.82857454377158</c:v>
                </c:pt>
              </c:numCache>
            </c:numRef>
          </c:xVal>
          <c:yVal>
            <c:numRef>
              <c:f>Calcs!$N$40:$N$41</c:f>
              <c:numCache>
                <c:formatCode>General</c:formatCode>
                <c:ptCount val="2"/>
                <c:pt idx="0">
                  <c:v>0</c:v>
                </c:pt>
                <c:pt idx="1">
                  <c:v>90</c:v>
                </c:pt>
              </c:numCache>
            </c:numRef>
          </c:yVal>
          <c:smooth val="1"/>
          <c:extLst>
            <c:ext xmlns:c15="http://schemas.microsoft.com/office/drawing/2012/chart" uri="{02D57815-91ED-43cb-92C2-25804820EDAC}">
              <c15:datalabelsRange>
                <c15:f>Calcs!$O$40</c15:f>
                <c15:dlblRangeCache>
                  <c:ptCount val="1"/>
                  <c:pt idx="0">
                    <c:v>sunrise</c:v>
                  </c:pt>
                </c15:dlblRangeCache>
              </c15:datalabelsRange>
            </c:ext>
            <c:ext xmlns:c16="http://schemas.microsoft.com/office/drawing/2014/chart" uri="{C3380CC4-5D6E-409C-BE32-E72D297353CC}">
              <c16:uniqueId val="{00000008-D119-DA4F-B597-618CE15A00D3}"/>
            </c:ext>
          </c:extLst>
        </c:ser>
        <c:ser>
          <c:idx val="9"/>
          <c:order val="25"/>
          <c:tx>
            <c:v>"midnight"</c:v>
          </c:tx>
          <c:spPr>
            <a:ln w="12700" cap="rnd">
              <a:solidFill>
                <a:srgbClr val="0070C0"/>
              </a:solidFill>
              <a:prstDash val="dash"/>
              <a:round/>
            </a:ln>
            <a:effectLst/>
          </c:spPr>
          <c:marker>
            <c:symbol val="none"/>
          </c:marker>
          <c:dLbls>
            <c:dLbl>
              <c:idx val="0"/>
              <c:tx>
                <c:rich>
                  <a:bodyPr/>
                  <a:lstStyle/>
                  <a:p>
                    <a:fld id="{04CE2873-EFB9-D542-A95E-FE7802A5DE7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119-DA4F-B597-618CE15A00D3}"/>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D119-DA4F-B597-618CE15A00D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Calcs!$M$36:$M$37</c:f>
              <c:numCache>
                <c:formatCode>0.00</c:formatCode>
                <c:ptCount val="2"/>
                <c:pt idx="0">
                  <c:v>7.5381497760682823</c:v>
                </c:pt>
                <c:pt idx="1">
                  <c:v>7.5381497760682823</c:v>
                </c:pt>
              </c:numCache>
            </c:numRef>
          </c:xVal>
          <c:yVal>
            <c:numRef>
              <c:f>Calcs!$N$36:$N$37</c:f>
              <c:numCache>
                <c:formatCode>General</c:formatCode>
                <c:ptCount val="2"/>
                <c:pt idx="0">
                  <c:v>0</c:v>
                </c:pt>
                <c:pt idx="1">
                  <c:v>20</c:v>
                </c:pt>
              </c:numCache>
            </c:numRef>
          </c:yVal>
          <c:smooth val="1"/>
          <c:extLst>
            <c:ext xmlns:c15="http://schemas.microsoft.com/office/drawing/2012/chart" uri="{02D57815-91ED-43cb-92C2-25804820EDAC}">
              <c15:datalabelsRange>
                <c15:f>Calcs!$O$36</c15:f>
                <c15:dlblRangeCache>
                  <c:ptCount val="1"/>
                  <c:pt idx="0">
                    <c:v>midnight</c:v>
                  </c:pt>
                </c15:dlblRangeCache>
              </c15:datalabelsRange>
            </c:ext>
            <c:ext xmlns:c16="http://schemas.microsoft.com/office/drawing/2014/chart" uri="{C3380CC4-5D6E-409C-BE32-E72D297353CC}">
              <c16:uniqueId val="{0000000D-D119-DA4F-B597-618CE15A00D3}"/>
            </c:ext>
          </c:extLst>
        </c:ser>
        <c:ser>
          <c:idx val="10"/>
          <c:order val="26"/>
          <c:tx>
            <c:v>"18-deg"</c:v>
          </c:tx>
          <c:spPr>
            <a:ln w="12700" cap="rnd">
              <a:solidFill>
                <a:srgbClr val="0070C0"/>
              </a:solidFill>
              <a:prstDash val="dash"/>
              <a:round/>
            </a:ln>
            <a:effectLst/>
          </c:spPr>
          <c:marker>
            <c:symbol val="none"/>
          </c:marker>
          <c:dLbls>
            <c:dLbl>
              <c:idx val="0"/>
              <c:tx>
                <c:rich>
                  <a:bodyPr/>
                  <a:lstStyle/>
                  <a:p>
                    <a:fld id="{32B73DD9-23D4-2443-971C-E2214C67BE4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119-DA4F-B597-618CE15A00D3}"/>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D119-DA4F-B597-618CE15A00D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Calcs!$M$42:$M$43</c:f>
              <c:numCache>
                <c:formatCode>0.00</c:formatCode>
                <c:ptCount val="2"/>
                <c:pt idx="0">
                  <c:v>2.6108095362183414</c:v>
                </c:pt>
                <c:pt idx="1">
                  <c:v>2.6108095362183414</c:v>
                </c:pt>
              </c:numCache>
            </c:numRef>
          </c:xVal>
          <c:yVal>
            <c:numRef>
              <c:f>Calcs!$N$42:$N$43</c:f>
              <c:numCache>
                <c:formatCode>General</c:formatCode>
                <c:ptCount val="2"/>
                <c:pt idx="0">
                  <c:v>0</c:v>
                </c:pt>
                <c:pt idx="1">
                  <c:v>90</c:v>
                </c:pt>
              </c:numCache>
            </c:numRef>
          </c:yVal>
          <c:smooth val="1"/>
          <c:extLst>
            <c:ext xmlns:c15="http://schemas.microsoft.com/office/drawing/2012/chart" uri="{02D57815-91ED-43cb-92C2-25804820EDAC}">
              <c15:datalabelsRange>
                <c15:f>Calcs!$O$42</c15:f>
                <c15:dlblRangeCache>
                  <c:ptCount val="1"/>
                  <c:pt idx="0">
                    <c:v>18</c:v>
                  </c:pt>
                </c15:dlblRangeCache>
              </c15:datalabelsRange>
            </c:ext>
            <c:ext xmlns:c16="http://schemas.microsoft.com/office/drawing/2014/chart" uri="{C3380CC4-5D6E-409C-BE32-E72D297353CC}">
              <c16:uniqueId val="{00000010-D119-DA4F-B597-618CE15A00D3}"/>
            </c:ext>
          </c:extLst>
        </c:ser>
        <c:ser>
          <c:idx val="11"/>
          <c:order val="27"/>
          <c:tx>
            <c:v>"18-deg"</c:v>
          </c:tx>
          <c:spPr>
            <a:ln w="12700" cap="rnd">
              <a:solidFill>
                <a:srgbClr val="0070C0"/>
              </a:solidFill>
              <a:prstDash val="dash"/>
              <a:round/>
            </a:ln>
            <a:effectLst/>
          </c:spPr>
          <c:marker>
            <c:symbol val="none"/>
          </c:marker>
          <c:dLbls>
            <c:dLbl>
              <c:idx val="0"/>
              <c:tx>
                <c:rich>
                  <a:bodyPr/>
                  <a:lstStyle/>
                  <a:p>
                    <a:fld id="{B8C72962-4718-624E-86FB-DEA2B500142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D119-DA4F-B597-618CE15A00D3}"/>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D119-DA4F-B597-618CE15A00D3}"/>
                </c:ext>
              </c:extLst>
            </c:dLbl>
            <c:spPr>
              <a:solidFill>
                <a:schemeClr val="l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Calcs!$M$44:$M$45</c:f>
              <c:numCache>
                <c:formatCode>0.00</c:formatCode>
                <c:ptCount val="2"/>
                <c:pt idx="0">
                  <c:v>12.465490015918224</c:v>
                </c:pt>
                <c:pt idx="1">
                  <c:v>12.465490015918224</c:v>
                </c:pt>
              </c:numCache>
            </c:numRef>
          </c:xVal>
          <c:yVal>
            <c:numRef>
              <c:f>Calcs!$N$44:$N$45</c:f>
              <c:numCache>
                <c:formatCode>General</c:formatCode>
                <c:ptCount val="2"/>
                <c:pt idx="0">
                  <c:v>0</c:v>
                </c:pt>
                <c:pt idx="1">
                  <c:v>90</c:v>
                </c:pt>
              </c:numCache>
            </c:numRef>
          </c:yVal>
          <c:smooth val="1"/>
          <c:extLst>
            <c:ext xmlns:c15="http://schemas.microsoft.com/office/drawing/2012/chart" uri="{02D57815-91ED-43cb-92C2-25804820EDAC}">
              <c15:datalabelsRange>
                <c15:f>Calcs!$O$42</c15:f>
                <c15:dlblRangeCache>
                  <c:ptCount val="1"/>
                  <c:pt idx="0">
                    <c:v>18</c:v>
                  </c:pt>
                </c15:dlblRangeCache>
              </c15:datalabelsRange>
            </c:ext>
            <c:ext xmlns:c16="http://schemas.microsoft.com/office/drawing/2014/chart" uri="{C3380CC4-5D6E-409C-BE32-E72D297353CC}">
              <c16:uniqueId val="{00000013-D119-DA4F-B597-618CE15A00D3}"/>
            </c:ext>
          </c:extLst>
        </c:ser>
        <c:ser>
          <c:idx val="12"/>
          <c:order val="28"/>
          <c:tx>
            <c:v>"12-deg"</c:v>
          </c:tx>
          <c:spPr>
            <a:ln w="12700" cap="rnd">
              <a:solidFill>
                <a:srgbClr val="0070C0"/>
              </a:solidFill>
              <a:prstDash val="dash"/>
              <a:round/>
            </a:ln>
            <a:effectLst/>
          </c:spPr>
          <c:marker>
            <c:symbol val="none"/>
          </c:marker>
          <c:dLbls>
            <c:dLbl>
              <c:idx val="0"/>
              <c:tx>
                <c:rich>
                  <a:bodyPr/>
                  <a:lstStyle/>
                  <a:p>
                    <a:fld id="{20724FA4-0775-E043-8FEB-6F9371C667B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D119-DA4F-B597-618CE15A00D3}"/>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D119-DA4F-B597-618CE15A00D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Calcs!$M$46:$M$47</c:f>
              <c:numCache>
                <c:formatCode>0.00</c:formatCode>
                <c:ptCount val="2"/>
                <c:pt idx="0">
                  <c:v>2.135375871853185</c:v>
                </c:pt>
                <c:pt idx="1">
                  <c:v>2.135375871853185</c:v>
                </c:pt>
              </c:numCache>
            </c:numRef>
          </c:xVal>
          <c:yVal>
            <c:numRef>
              <c:f>Calcs!$N$46:$N$47</c:f>
              <c:numCache>
                <c:formatCode>General</c:formatCode>
                <c:ptCount val="2"/>
                <c:pt idx="0">
                  <c:v>0</c:v>
                </c:pt>
                <c:pt idx="1">
                  <c:v>90</c:v>
                </c:pt>
              </c:numCache>
            </c:numRef>
          </c:yVal>
          <c:smooth val="1"/>
          <c:extLst>
            <c:ext xmlns:c15="http://schemas.microsoft.com/office/drawing/2012/chart" uri="{02D57815-91ED-43cb-92C2-25804820EDAC}">
              <c15:datalabelsRange>
                <c15:f>Calcs!$O$46</c15:f>
                <c15:dlblRangeCache>
                  <c:ptCount val="1"/>
                  <c:pt idx="0">
                    <c:v>12</c:v>
                  </c:pt>
                </c15:dlblRangeCache>
              </c15:datalabelsRange>
            </c:ext>
            <c:ext xmlns:c16="http://schemas.microsoft.com/office/drawing/2014/chart" uri="{C3380CC4-5D6E-409C-BE32-E72D297353CC}">
              <c16:uniqueId val="{00000014-D119-DA4F-B597-618CE15A00D3}"/>
            </c:ext>
          </c:extLst>
        </c:ser>
        <c:ser>
          <c:idx val="13"/>
          <c:order val="29"/>
          <c:tx>
            <c:v>"12-deg"</c:v>
          </c:tx>
          <c:spPr>
            <a:ln w="19050" cap="rnd">
              <a:solidFill>
                <a:schemeClr val="accent2">
                  <a:lumMod val="80000"/>
                  <a:lumOff val="20000"/>
                </a:schemeClr>
              </a:solidFill>
              <a:round/>
            </a:ln>
            <a:effectLst/>
          </c:spPr>
          <c:marker>
            <c:symbol val="none"/>
          </c:marker>
          <c:dPt>
            <c:idx val="1"/>
            <c:bubble3D val="0"/>
            <c:spPr>
              <a:ln w="12700" cap="rnd">
                <a:solidFill>
                  <a:srgbClr val="0070C0"/>
                </a:solidFill>
                <a:prstDash val="dash"/>
                <a:round/>
              </a:ln>
              <a:effectLst/>
            </c:spPr>
            <c:extLst>
              <c:ext xmlns:c16="http://schemas.microsoft.com/office/drawing/2014/chart" uri="{C3380CC4-5D6E-409C-BE32-E72D297353CC}">
                <c16:uniqueId val="{00000017-D119-DA4F-B597-618CE15A00D3}"/>
              </c:ext>
            </c:extLst>
          </c:dPt>
          <c:dLbls>
            <c:dLbl>
              <c:idx val="0"/>
              <c:tx>
                <c:rich>
                  <a:bodyPr/>
                  <a:lstStyle/>
                  <a:p>
                    <a:fld id="{949D4490-FFB3-7349-8857-CB3781114E3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D119-DA4F-B597-618CE15A00D3}"/>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D119-DA4F-B597-618CE15A00D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Calcs!$M$48:$M$49</c:f>
              <c:numCache>
                <c:formatCode>0.00</c:formatCode>
                <c:ptCount val="2"/>
                <c:pt idx="0">
                  <c:v>12.94092368028338</c:v>
                </c:pt>
                <c:pt idx="1">
                  <c:v>12.94092368028338</c:v>
                </c:pt>
              </c:numCache>
            </c:numRef>
          </c:xVal>
          <c:yVal>
            <c:numRef>
              <c:f>Calcs!$N$48:$N$49</c:f>
              <c:numCache>
                <c:formatCode>General</c:formatCode>
                <c:ptCount val="2"/>
                <c:pt idx="0">
                  <c:v>0</c:v>
                </c:pt>
                <c:pt idx="1">
                  <c:v>90</c:v>
                </c:pt>
              </c:numCache>
            </c:numRef>
          </c:yVal>
          <c:smooth val="1"/>
          <c:extLst>
            <c:ext xmlns:c15="http://schemas.microsoft.com/office/drawing/2012/chart" uri="{02D57815-91ED-43cb-92C2-25804820EDAC}">
              <c15:datalabelsRange>
                <c15:f>Calcs!$O$46</c15:f>
                <c15:dlblRangeCache>
                  <c:ptCount val="1"/>
                  <c:pt idx="0">
                    <c:v>12</c:v>
                  </c:pt>
                </c15:dlblRangeCache>
              </c15:datalabelsRange>
            </c:ext>
            <c:ext xmlns:c16="http://schemas.microsoft.com/office/drawing/2014/chart" uri="{C3380CC4-5D6E-409C-BE32-E72D297353CC}">
              <c16:uniqueId val="{00000015-D119-DA4F-B597-618CE15A00D3}"/>
            </c:ext>
          </c:extLst>
        </c:ser>
        <c:ser>
          <c:idx val="15"/>
          <c:order val="30"/>
          <c:tx>
            <c:v>"Exposure"</c:v>
          </c:tx>
          <c:spPr>
            <a:ln w="19050" cap="rnd">
              <a:noFill/>
              <a:round/>
            </a:ln>
            <a:effectLst/>
          </c:spPr>
          <c:marker>
            <c:symbol val="none"/>
          </c:marker>
          <c:dLbls>
            <c:dLbl>
              <c:idx val="0"/>
              <c:tx>
                <c:rich>
                  <a:bodyPr/>
                  <a:lstStyle/>
                  <a:p>
                    <a:fld id="{8D2D2FC0-E12D-294D-A9CD-FB4FE2EF55F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D119-DA4F-B597-618CE15A00D3}"/>
                </c:ext>
              </c:extLst>
            </c:dLbl>
            <c:dLbl>
              <c:idx val="1"/>
              <c:tx>
                <c:rich>
                  <a:bodyPr/>
                  <a:lstStyle/>
                  <a:p>
                    <a:fld id="{4B574332-8CBA-D248-A88F-09DBC157A1C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D119-DA4F-B597-618CE15A00D3}"/>
                </c:ext>
              </c:extLst>
            </c:dLbl>
            <c:dLbl>
              <c:idx val="2"/>
              <c:tx>
                <c:rich>
                  <a:bodyPr/>
                  <a:lstStyle/>
                  <a:p>
                    <a:fld id="{512BEDFE-948A-7241-99DA-7430BAB370D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D119-DA4F-B597-618CE15A00D3}"/>
                </c:ext>
              </c:extLst>
            </c:dLbl>
            <c:dLbl>
              <c:idx val="3"/>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3-D119-DA4F-B597-618CE15A00D3}"/>
                </c:ext>
              </c:extLst>
            </c:dLbl>
            <c:dLbl>
              <c:idx val="4"/>
              <c:tx>
                <c:rich>
                  <a:bodyPr/>
                  <a:lstStyle/>
                  <a:p>
                    <a:fld id="{8436BB8A-1534-1A40-BDB6-F93F73B7DA9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D119-DA4F-B597-618CE15A00D3}"/>
                </c:ext>
              </c:extLst>
            </c:dLbl>
            <c:dLbl>
              <c:idx val="5"/>
              <c:tx>
                <c:rich>
                  <a:bodyPr/>
                  <a:lstStyle/>
                  <a:p>
                    <a:fld id="{D0D5FA28-5951-9C49-9395-5013F41D9F8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05D-A443-9B3A-36C31A2CF84A}"/>
                </c:ext>
              </c:extLst>
            </c:dLbl>
            <c:dLbl>
              <c:idx val="6"/>
              <c:tx>
                <c:rich>
                  <a:bodyPr/>
                  <a:lstStyle/>
                  <a:p>
                    <a:fld id="{1A686217-4A5B-AB4B-963C-3162A41346A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05D-A443-9B3A-36C31A2CF84A}"/>
                </c:ext>
              </c:extLst>
            </c:dLbl>
            <c:dLbl>
              <c:idx val="7"/>
              <c:tx>
                <c:rich>
                  <a:bodyPr/>
                  <a:lstStyle/>
                  <a:p>
                    <a:fld id="{D8A79B7A-E3A0-9745-8773-4E44367693D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05D-A443-9B3A-36C31A2CF84A}"/>
                </c:ext>
              </c:extLst>
            </c:dLbl>
            <c:dLbl>
              <c:idx val="8"/>
              <c:tx>
                <c:rich>
                  <a:bodyPr/>
                  <a:lstStyle/>
                  <a:p>
                    <a:fld id="{01C40359-7F5A-5444-8C41-B821138D8FE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05D-A443-9B3A-36C31A2CF84A}"/>
                </c:ext>
              </c:extLst>
            </c:dLbl>
            <c:dLbl>
              <c:idx val="9"/>
              <c:tx>
                <c:rich>
                  <a:bodyPr/>
                  <a:lstStyle/>
                  <a:p>
                    <a:fld id="{432B6ABB-F46D-EC44-8001-A9A5703323E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05D-A443-9B3A-36C31A2CF84A}"/>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605D-A443-9B3A-36C31A2CF84A}"/>
                </c:ext>
              </c:extLst>
            </c:dLbl>
            <c:dLbl>
              <c:idx val="11"/>
              <c:tx>
                <c:rich>
                  <a:bodyPr/>
                  <a:lstStyle/>
                  <a:p>
                    <a:fld id="{2D967957-8E1C-934B-A375-715E8F4B30C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05D-A443-9B3A-36C31A2CF84A}"/>
                </c:ext>
              </c:extLst>
            </c:dLbl>
            <c:dLbl>
              <c:idx val="12"/>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605D-A443-9B3A-36C31A2CF84A}"/>
                </c:ext>
              </c:extLst>
            </c:dLbl>
            <c:dLbl>
              <c:idx val="13"/>
              <c:tx>
                <c:rich>
                  <a:bodyPr/>
                  <a:lstStyle/>
                  <a:p>
                    <a:fld id="{4149E301-F937-E240-81DE-C07950A75B2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605D-A443-9B3A-36C31A2CF84A}"/>
                </c:ext>
              </c:extLst>
            </c:dLbl>
            <c:dLbl>
              <c:idx val="14"/>
              <c:tx>
                <c:rich>
                  <a:bodyPr/>
                  <a:lstStyle/>
                  <a:p>
                    <a:fld id="{C550C85F-5737-654F-BDBF-02B6385BCDA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605D-A443-9B3A-36C31A2CF84A}"/>
                </c:ext>
              </c:extLst>
            </c:dLbl>
            <c:dLbl>
              <c:idx val="15"/>
              <c:tx>
                <c:rich>
                  <a:bodyPr/>
                  <a:lstStyle/>
                  <a:p>
                    <a:fld id="{6F8C0818-2E5F-A14F-8102-D10CEAC2DB9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605D-A443-9B3A-36C31A2CF84A}"/>
                </c:ext>
              </c:extLst>
            </c:dLbl>
            <c:dLbl>
              <c:idx val="1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605D-A443-9B3A-36C31A2CF84A}"/>
                </c:ext>
              </c:extLst>
            </c:dLbl>
            <c:dLbl>
              <c:idx val="1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605D-A443-9B3A-36C31A2CF84A}"/>
                </c:ext>
              </c:extLst>
            </c:dLbl>
            <c:dLbl>
              <c:idx val="18"/>
              <c:tx>
                <c:rich>
                  <a:bodyPr/>
                  <a:lstStyle/>
                  <a:p>
                    <a:fld id="{71470E2E-C25E-F64B-848A-EDB0DD67282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605D-A443-9B3A-36C31A2CF84A}"/>
                </c:ext>
              </c:extLst>
            </c:dLbl>
            <c:dLbl>
              <c:idx val="19"/>
              <c:tx>
                <c:rich>
                  <a:bodyPr/>
                  <a:lstStyle/>
                  <a:p>
                    <a:fld id="{9B53E255-62AA-5B44-8EED-1BF36772C12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605D-A443-9B3A-36C31A2CF84A}"/>
                </c:ext>
              </c:extLst>
            </c:dLbl>
            <c:spPr>
              <a:solidFill>
                <a:schemeClr val="lt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MODS!$AP$5:$AP$24</c:f>
              <c:numCache>
                <c:formatCode>0.0</c:formatCode>
                <c:ptCount val="20"/>
                <c:pt idx="0">
                  <c:v>9.837171279086327</c:v>
                </c:pt>
                <c:pt idx="1">
                  <c:v>8.4871712790863292</c:v>
                </c:pt>
                <c:pt idx="2">
                  <c:v>11.503837945752995</c:v>
                </c:pt>
                <c:pt idx="3">
                  <c:v>#N/A</c:v>
                </c:pt>
                <c:pt idx="4">
                  <c:v>11.037171279086326</c:v>
                </c:pt>
                <c:pt idx="5">
                  <c:v>9.8038379457529956</c:v>
                </c:pt>
                <c:pt idx="6">
                  <c:v>1.3205046124196613</c:v>
                </c:pt>
                <c:pt idx="7">
                  <c:v>7.953837945752996</c:v>
                </c:pt>
                <c:pt idx="8">
                  <c:v>1.9371712790863276</c:v>
                </c:pt>
                <c:pt idx="9">
                  <c:v>4.8371712790863279</c:v>
                </c:pt>
                <c:pt idx="10">
                  <c:v>#N/A</c:v>
                </c:pt>
                <c:pt idx="11">
                  <c:v>5.2538379457529949</c:v>
                </c:pt>
                <c:pt idx="12">
                  <c:v>#N/A</c:v>
                </c:pt>
                <c:pt idx="13">
                  <c:v>8.5371712790863281</c:v>
                </c:pt>
                <c:pt idx="14">
                  <c:v>9.0371712790863263</c:v>
                </c:pt>
                <c:pt idx="15">
                  <c:v>9.8205046124196613</c:v>
                </c:pt>
                <c:pt idx="16">
                  <c:v>#N/A</c:v>
                </c:pt>
                <c:pt idx="17">
                  <c:v>#N/A</c:v>
                </c:pt>
                <c:pt idx="18">
                  <c:v>11.287171279086328</c:v>
                </c:pt>
                <c:pt idx="19">
                  <c:v>14.420504612419661</c:v>
                </c:pt>
              </c:numCache>
            </c:numRef>
          </c:xVal>
          <c:yVal>
            <c:numRef>
              <c:f>MODS!$AQ$5:$AQ$24</c:f>
              <c:numCache>
                <c:formatCode>0</c:formatCode>
                <c:ptCount val="20"/>
                <c:pt idx="0">
                  <c:v>87.866666666666674</c:v>
                </c:pt>
                <c:pt idx="1">
                  <c:v>64.833333333333329</c:v>
                </c:pt>
                <c:pt idx="2">
                  <c:v>85.9</c:v>
                </c:pt>
                <c:pt idx="3">
                  <c:v>#N/A</c:v>
                </c:pt>
                <c:pt idx="4">
                  <c:v>77.449999999999989</c:v>
                </c:pt>
                <c:pt idx="5">
                  <c:v>79.316666666666691</c:v>
                </c:pt>
                <c:pt idx="6">
                  <c:v>50.51666666666668</c:v>
                </c:pt>
                <c:pt idx="7">
                  <c:v>68.666666666666671</c:v>
                </c:pt>
                <c:pt idx="8">
                  <c:v>69.883333333333326</c:v>
                </c:pt>
                <c:pt idx="9">
                  <c:v>71.783333333333346</c:v>
                </c:pt>
                <c:pt idx="10">
                  <c:v>#N/A</c:v>
                </c:pt>
                <c:pt idx="11">
                  <c:v>81.34999999999998</c:v>
                </c:pt>
                <c:pt idx="12">
                  <c:v>#N/A</c:v>
                </c:pt>
                <c:pt idx="13">
                  <c:v>69.11666666666666</c:v>
                </c:pt>
                <c:pt idx="14">
                  <c:v>53.04999999999999</c:v>
                </c:pt>
                <c:pt idx="15">
                  <c:v>83.549999999999983</c:v>
                </c:pt>
                <c:pt idx="16">
                  <c:v>#N/A</c:v>
                </c:pt>
                <c:pt idx="17">
                  <c:v>#N/A</c:v>
                </c:pt>
                <c:pt idx="18">
                  <c:v>66.283333333333331</c:v>
                </c:pt>
                <c:pt idx="19">
                  <c:v>52.783333333333346</c:v>
                </c:pt>
              </c:numCache>
            </c:numRef>
          </c:yVal>
          <c:smooth val="1"/>
          <c:extLst>
            <c:ext xmlns:c15="http://schemas.microsoft.com/office/drawing/2012/chart" uri="{02D57815-91ED-43cb-92C2-25804820EDAC}">
              <c15:datalabelsRange>
                <c15:f>MODS!$AC$5:$AC$24</c15:f>
                <c15:dlblRangeCache>
                  <c:ptCount val="20"/>
                  <c:pt idx="0">
                    <c:v>1.3</c:v>
                  </c:pt>
                  <c:pt idx="1">
                    <c:v>1.3</c:v>
                  </c:pt>
                  <c:pt idx="2">
                    <c:v>1.3</c:v>
                  </c:pt>
                  <c:pt idx="4">
                    <c:v>2.4</c:v>
                  </c:pt>
                  <c:pt idx="5">
                    <c:v>0.5</c:v>
                  </c:pt>
                  <c:pt idx="6">
                    <c:v>1.3</c:v>
                  </c:pt>
                  <c:pt idx="7">
                    <c:v>1.3</c:v>
                  </c:pt>
                  <c:pt idx="8">
                    <c:v>0.5</c:v>
                  </c:pt>
                  <c:pt idx="9">
                    <c:v>1.7</c:v>
                  </c:pt>
                  <c:pt idx="10">
                    <c:v>1.7</c:v>
                  </c:pt>
                  <c:pt idx="11">
                    <c:v>1.7</c:v>
                  </c:pt>
                  <c:pt idx="12">
                    <c:v>1.7</c:v>
                  </c:pt>
                  <c:pt idx="13">
                    <c:v>1.7</c:v>
                  </c:pt>
                  <c:pt idx="14">
                    <c:v>1.7</c:v>
                  </c:pt>
                  <c:pt idx="15">
                    <c:v>1.7</c:v>
                  </c:pt>
                  <c:pt idx="16">
                    <c:v>1.7</c:v>
                  </c:pt>
                  <c:pt idx="17">
                    <c:v>1.7</c:v>
                  </c:pt>
                  <c:pt idx="18">
                    <c:v>1.7</c:v>
                  </c:pt>
                  <c:pt idx="19">
                    <c:v>1.7</c:v>
                  </c:pt>
                </c15:dlblRangeCache>
              </c15:datalabelsRange>
            </c:ext>
            <c:ext xmlns:c16="http://schemas.microsoft.com/office/drawing/2014/chart" uri="{C3380CC4-5D6E-409C-BE32-E72D297353CC}">
              <c16:uniqueId val="{00000022-D119-DA4F-B597-618CE15A00D3}"/>
            </c:ext>
          </c:extLst>
        </c:ser>
        <c:ser>
          <c:idx val="14"/>
          <c:order val="31"/>
          <c:tx>
            <c:v>"Labels"</c:v>
          </c:tx>
          <c:spPr>
            <a:ln w="19050" cap="rnd">
              <a:noFill/>
              <a:round/>
            </a:ln>
            <a:effectLst/>
          </c:spPr>
          <c:marker>
            <c:symbol val="none"/>
          </c:marker>
          <c:dLbls>
            <c:dLbl>
              <c:idx val="0"/>
              <c:tx>
                <c:rich>
                  <a:bodyPr/>
                  <a:lstStyle/>
                  <a:p>
                    <a:fld id="{725155B7-512C-7A4E-B60A-DE7F088CF97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D119-DA4F-B597-618CE15A00D3}"/>
                </c:ext>
              </c:extLst>
            </c:dLbl>
            <c:dLbl>
              <c:idx val="1"/>
              <c:tx>
                <c:rich>
                  <a:bodyPr/>
                  <a:lstStyle/>
                  <a:p>
                    <a:fld id="{9A03D630-0D20-9440-8192-042340A3738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D119-DA4F-B597-618CE15A00D3}"/>
                </c:ext>
              </c:extLst>
            </c:dLbl>
            <c:dLbl>
              <c:idx val="2"/>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5F2E5AE8-C7C8-D049-906E-4C9C6D8971B5}"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1F-D119-DA4F-B597-618CE15A00D3}"/>
                </c:ext>
              </c:extLst>
            </c:dLbl>
            <c:dLbl>
              <c:idx val="3"/>
              <c:tx>
                <c:rich>
                  <a:bodyPr/>
                  <a:lstStyle/>
                  <a:p>
                    <a:fld id="{C3A47296-4F68-3C4A-B157-2BE7E2A1316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D119-DA4F-B597-618CE15A00D3}"/>
                </c:ext>
              </c:extLst>
            </c:dLbl>
            <c:dLbl>
              <c:idx val="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D119-DA4F-B597-618CE15A00D3}"/>
                </c:ext>
              </c:extLst>
            </c:dLbl>
            <c:dLbl>
              <c:idx val="5"/>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6F9FAE7C-424C-2D4E-A394-F42688D964FE}"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18-605D-A443-9B3A-36C31A2CF84A}"/>
                </c:ext>
              </c:extLst>
            </c:dLbl>
            <c:dLbl>
              <c:idx val="6"/>
              <c:tx>
                <c:rich>
                  <a:bodyPr/>
                  <a:lstStyle/>
                  <a:p>
                    <a:fld id="{25A36C2C-6BCF-8F44-B7FD-CD325237472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605D-A443-9B3A-36C31A2CF84A}"/>
                </c:ext>
              </c:extLst>
            </c:dLbl>
            <c:dLbl>
              <c:idx val="7"/>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804F4E0B-112D-F649-A087-EC756A68B63C}"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1A-605D-A443-9B3A-36C31A2CF84A}"/>
                </c:ext>
              </c:extLst>
            </c:dLbl>
            <c:dLbl>
              <c:idx val="8"/>
              <c:tx>
                <c:rich>
                  <a:bodyPr rot="-5400000" spcFirstLastPara="1" vertOverflow="ellipsis" wrap="square" lIns="36576" tIns="19050" rIns="38100" bIns="19050" anchor="ctr" anchorCtr="1">
                    <a:spAutoFit/>
                  </a:bodyPr>
                  <a:lstStyle/>
                  <a:p>
                    <a:pPr>
                      <a:defRPr sz="900" b="1" i="0" u="none" strike="noStrike" kern="1200" baseline="0">
                        <a:solidFill>
                          <a:srgbClr val="0070C0"/>
                        </a:solidFill>
                        <a:latin typeface="+mn-lt"/>
                        <a:ea typeface="+mn-ea"/>
                        <a:cs typeface="+mn-cs"/>
                      </a:defRPr>
                    </a:pPr>
                    <a:fld id="{1CBFF28A-A0C1-0C4F-8A4B-CE37BDF72BF2}" type="CELLRANGE">
                      <a:rPr lang="en-US"/>
                      <a:pPr>
                        <a:defRPr sz="900" b="1" i="0" u="none" strike="noStrike" kern="1200" baseline="0">
                          <a:solidFill>
                            <a:srgbClr val="0070C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1B-605D-A443-9B3A-36C31A2CF84A}"/>
                </c:ext>
              </c:extLst>
            </c:dLbl>
            <c:dLbl>
              <c:idx val="9"/>
              <c:tx>
                <c:rich>
                  <a:bodyPr/>
                  <a:lstStyle/>
                  <a:p>
                    <a:fld id="{9017E11D-1FA7-E841-B643-21E03C9974A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605D-A443-9B3A-36C31A2CF84A}"/>
                </c:ext>
              </c:extLst>
            </c:dLbl>
            <c:dLbl>
              <c:idx val="10"/>
              <c:tx>
                <c:rich>
                  <a:bodyPr rot="-5400000" spcFirstLastPara="1" vertOverflow="ellipsis" wrap="square" lIns="36576" tIns="19050" rIns="38100" bIns="19050" anchor="ctr" anchorCtr="1">
                    <a:spAutoFit/>
                  </a:bodyPr>
                  <a:lstStyle/>
                  <a:p>
                    <a:pPr>
                      <a:defRPr sz="900" b="1" i="0" u="none" strike="noStrike" kern="1200" baseline="0">
                        <a:solidFill>
                          <a:srgbClr val="0070C0"/>
                        </a:solidFill>
                        <a:latin typeface="+mn-lt"/>
                        <a:ea typeface="+mn-ea"/>
                        <a:cs typeface="+mn-cs"/>
                      </a:defRPr>
                    </a:pPr>
                    <a:fld id="{1672B007-7F6D-A74A-85B3-C6B0DE9F65C4}" type="CELLRANGE">
                      <a:rPr lang="en-US"/>
                      <a:pPr>
                        <a:defRPr sz="900" b="1" i="0" u="none" strike="noStrike" kern="1200" baseline="0">
                          <a:solidFill>
                            <a:srgbClr val="0070C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1D-605D-A443-9B3A-36C31A2CF84A}"/>
                </c:ext>
              </c:extLst>
            </c:dLbl>
            <c:dLbl>
              <c:idx val="11"/>
              <c:tx>
                <c:rich>
                  <a:bodyPr rot="-5400000" spcFirstLastPara="1" vertOverflow="ellipsis" wrap="square" lIns="36576"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1E-605D-A443-9B3A-36C31A2CF84A}"/>
                </c:ext>
              </c:extLst>
            </c:dLbl>
            <c:dLbl>
              <c:idx val="12"/>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E6034876-4A57-7741-96FF-26AC3CD88D04}"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1F-605D-A443-9B3A-36C31A2CF84A}"/>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0-605D-A443-9B3A-36C31A2CF84A}"/>
                </c:ext>
              </c:extLst>
            </c:dLbl>
            <c:dLbl>
              <c:idx val="14"/>
              <c:tx>
                <c:rich>
                  <a:bodyPr rot="-5400000" spcFirstLastPara="1" vertOverflow="ellipsis" wrap="square" lIns="36576" tIns="19050" rIns="38100" bIns="19050" anchor="ctr" anchorCtr="1">
                    <a:spAutoFit/>
                  </a:bodyPr>
                  <a:lstStyle/>
                  <a:p>
                    <a:pPr>
                      <a:defRPr sz="900" b="1" i="0" u="none" strike="noStrike" kern="1200" baseline="0">
                        <a:solidFill>
                          <a:srgbClr val="0070C0"/>
                        </a:solidFill>
                        <a:latin typeface="+mn-lt"/>
                        <a:ea typeface="+mn-ea"/>
                        <a:cs typeface="+mn-cs"/>
                      </a:defRPr>
                    </a:pPr>
                    <a:fld id="{3EA5DF38-CDE5-2645-88CE-4ACFEAD50F35}" type="CELLRANGE">
                      <a:rPr lang="en-US"/>
                      <a:pPr>
                        <a:defRPr sz="900" b="1" i="0" u="none" strike="noStrike" kern="1200" baseline="0">
                          <a:solidFill>
                            <a:srgbClr val="0070C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21-605D-A443-9B3A-36C31A2CF84A}"/>
                </c:ext>
              </c:extLst>
            </c:dLbl>
            <c:dLbl>
              <c:idx val="15"/>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C0E56009-FDB1-9F40-BB67-4D92D14AF203}"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22-605D-A443-9B3A-36C31A2CF84A}"/>
                </c:ext>
              </c:extLst>
            </c:dLbl>
            <c:dLbl>
              <c:idx val="16"/>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9DB5796D-F1D9-8740-A82D-4E41E71F4554}"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23-605D-A443-9B3A-36C31A2CF84A}"/>
                </c:ext>
              </c:extLst>
            </c:dLbl>
            <c:dLbl>
              <c:idx val="17"/>
              <c:tx>
                <c:rich>
                  <a:bodyPr rot="-5400000" spcFirstLastPara="1" vertOverflow="ellipsis" wrap="square" lIns="36576"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24-605D-A443-9B3A-36C31A2CF84A}"/>
                </c:ext>
              </c:extLst>
            </c:dLbl>
            <c:dLbl>
              <c:idx val="18"/>
              <c:tx>
                <c:rich>
                  <a:bodyPr rot="-5400000" spcFirstLastPara="1" vertOverflow="ellipsis" wrap="square" lIns="36576"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25-605D-A443-9B3A-36C31A2CF84A}"/>
                </c:ext>
              </c:extLst>
            </c:dLbl>
            <c:dLbl>
              <c:idx val="19"/>
              <c:tx>
                <c:rich>
                  <a:bodyPr rot="-5400000" spcFirstLastPara="1" vertOverflow="ellipsis" wrap="square" lIns="36576" tIns="19050" rIns="38100" bIns="19050" anchor="ctr" anchorCtr="1">
                    <a:spAutoFit/>
                  </a:bodyPr>
                  <a:lstStyle/>
                  <a:p>
                    <a:pPr>
                      <a:defRPr sz="900" b="1" i="0" u="none" strike="noStrike" kern="1200" baseline="0">
                        <a:solidFill>
                          <a:srgbClr val="0070C0"/>
                        </a:solidFill>
                        <a:latin typeface="+mn-lt"/>
                        <a:ea typeface="+mn-ea"/>
                        <a:cs typeface="+mn-cs"/>
                      </a:defRPr>
                    </a:pPr>
                    <a:fld id="{DD488AC0-523A-F649-A503-99C2E7D55112}" type="CELLRANGE">
                      <a:rPr lang="en-US"/>
                      <a:pPr>
                        <a:defRPr sz="900" b="1" i="0" u="none" strike="noStrike" kern="1200" baseline="0">
                          <a:solidFill>
                            <a:srgbClr val="0070C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26-605D-A443-9B3A-36C31A2CF84A}"/>
                </c:ext>
              </c:extLst>
            </c:dLbl>
            <c:dLbl>
              <c:idx val="20"/>
              <c:tx>
                <c:rich>
                  <a:bodyPr/>
                  <a:lstStyle/>
                  <a:p>
                    <a:fld id="{AF9CCFEF-8FD7-C940-BE56-6F5B66B4195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605D-A443-9B3A-36C31A2CF84A}"/>
                </c:ext>
              </c:extLst>
            </c:dLbl>
            <c:spPr>
              <a:solidFill>
                <a:schemeClr val="lt1"/>
              </a:solidFill>
              <a:ln>
                <a:noFill/>
              </a:ln>
              <a:effectLst/>
            </c:spPr>
            <c:txPr>
              <a:bodyPr rot="-5400000" spcFirstLastPara="1" vertOverflow="ellipsis" wrap="square" lIns="36576"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xVal>
            <c:numRef>
              <c:f>MODS!$AP$4:$AP$24</c:f>
              <c:numCache>
                <c:formatCode>0.0</c:formatCode>
                <c:ptCount val="21"/>
                <c:pt idx="0">
                  <c:v>18.988156148967683</c:v>
                </c:pt>
                <c:pt idx="1">
                  <c:v>9.837171279086327</c:v>
                </c:pt>
                <c:pt idx="2">
                  <c:v>8.4871712790863292</c:v>
                </c:pt>
                <c:pt idx="3">
                  <c:v>11.503837945752995</c:v>
                </c:pt>
                <c:pt idx="4">
                  <c:v>#N/A</c:v>
                </c:pt>
                <c:pt idx="5">
                  <c:v>11.037171279086326</c:v>
                </c:pt>
                <c:pt idx="6">
                  <c:v>9.8038379457529956</c:v>
                </c:pt>
                <c:pt idx="7">
                  <c:v>1.3205046124196613</c:v>
                </c:pt>
                <c:pt idx="8">
                  <c:v>7.953837945752996</c:v>
                </c:pt>
                <c:pt idx="9">
                  <c:v>1.9371712790863276</c:v>
                </c:pt>
                <c:pt idx="10">
                  <c:v>4.8371712790863279</c:v>
                </c:pt>
                <c:pt idx="11">
                  <c:v>#N/A</c:v>
                </c:pt>
                <c:pt idx="12">
                  <c:v>5.2538379457529949</c:v>
                </c:pt>
                <c:pt idx="13">
                  <c:v>#N/A</c:v>
                </c:pt>
                <c:pt idx="14">
                  <c:v>8.5371712790863281</c:v>
                </c:pt>
                <c:pt idx="15">
                  <c:v>9.0371712790863263</c:v>
                </c:pt>
                <c:pt idx="16">
                  <c:v>9.8205046124196613</c:v>
                </c:pt>
                <c:pt idx="17">
                  <c:v>#N/A</c:v>
                </c:pt>
                <c:pt idx="18">
                  <c:v>#N/A</c:v>
                </c:pt>
                <c:pt idx="19">
                  <c:v>11.287171279086328</c:v>
                </c:pt>
                <c:pt idx="20">
                  <c:v>14.420504612419661</c:v>
                </c:pt>
              </c:numCache>
            </c:numRef>
          </c:xVal>
          <c:yVal>
            <c:numRef>
              <c:f>MODS!$AQ$4:$AQ$24</c:f>
              <c:numCache>
                <c:formatCode>0</c:formatCode>
                <c:ptCount val="21"/>
                <c:pt idx="0">
                  <c:v>43.105636220368886</c:v>
                </c:pt>
                <c:pt idx="1">
                  <c:v>87.866666666666674</c:v>
                </c:pt>
                <c:pt idx="2">
                  <c:v>64.833333333333329</c:v>
                </c:pt>
                <c:pt idx="3">
                  <c:v>85.9</c:v>
                </c:pt>
                <c:pt idx="4">
                  <c:v>#N/A</c:v>
                </c:pt>
                <c:pt idx="5">
                  <c:v>77.449999999999989</c:v>
                </c:pt>
                <c:pt idx="6">
                  <c:v>79.316666666666691</c:v>
                </c:pt>
                <c:pt idx="7">
                  <c:v>50.51666666666668</c:v>
                </c:pt>
                <c:pt idx="8">
                  <c:v>68.666666666666671</c:v>
                </c:pt>
                <c:pt idx="9">
                  <c:v>69.883333333333326</c:v>
                </c:pt>
                <c:pt idx="10">
                  <c:v>71.783333333333346</c:v>
                </c:pt>
                <c:pt idx="11">
                  <c:v>#N/A</c:v>
                </c:pt>
                <c:pt idx="12">
                  <c:v>81.34999999999998</c:v>
                </c:pt>
                <c:pt idx="13">
                  <c:v>#N/A</c:v>
                </c:pt>
                <c:pt idx="14">
                  <c:v>69.11666666666666</c:v>
                </c:pt>
                <c:pt idx="15">
                  <c:v>53.04999999999999</c:v>
                </c:pt>
                <c:pt idx="16">
                  <c:v>83.549999999999983</c:v>
                </c:pt>
                <c:pt idx="17">
                  <c:v>#N/A</c:v>
                </c:pt>
                <c:pt idx="18">
                  <c:v>#N/A</c:v>
                </c:pt>
                <c:pt idx="19">
                  <c:v>66.283333333333331</c:v>
                </c:pt>
                <c:pt idx="20">
                  <c:v>52.783333333333346</c:v>
                </c:pt>
              </c:numCache>
            </c:numRef>
          </c:yVal>
          <c:smooth val="1"/>
          <c:extLst>
            <c:ext xmlns:c15="http://schemas.microsoft.com/office/drawing/2012/chart" uri="{02D57815-91ED-43cb-92C2-25804820EDAC}">
              <c15:datalabelsRange>
                <c15:f>MODS!$W$4:$W$24</c15:f>
                <c15:dlblRangeCache>
                  <c:ptCount val="21"/>
                  <c:pt idx="0">
                    <c:v>Moon</c:v>
                  </c:pt>
                  <c:pt idx="1">
                    <c:v>XMD Mrk59</c:v>
                  </c:pt>
                  <c:pt idx="2">
                    <c:v>SBS1135</c:v>
                  </c:pt>
                  <c:pt idx="3">
                    <c:v>SBS1437</c:v>
                  </c:pt>
                  <c:pt idx="5">
                    <c:v>SDSS1411</c:v>
                  </c:pt>
                  <c:pt idx="6">
                    <c:v>gd153</c:v>
                  </c:pt>
                  <c:pt idx="7">
                    <c:v>SCAT-2024pjl</c:v>
                  </c:pt>
                  <c:pt idx="8">
                    <c:v>SCAT-2024inv</c:v>
                  </c:pt>
                  <c:pt idx="9">
                    <c:v>g191b2b</c:v>
                  </c:pt>
                  <c:pt idx="10">
                    <c:v>U4115-dw2</c:v>
                  </c:pt>
                  <c:pt idx="11">
                    <c:v>U4115-dw1</c:v>
                  </c:pt>
                  <c:pt idx="12">
                    <c:v>U4426-dw1</c:v>
                  </c:pt>
                  <c:pt idx="13">
                    <c:v>N3738-dw7</c:v>
                  </c:pt>
                  <c:pt idx="14">
                    <c:v>N3738-dw10</c:v>
                  </c:pt>
                  <c:pt idx="15">
                    <c:v>N4236-dw13</c:v>
                  </c:pt>
                  <c:pt idx="16">
                    <c:v>I4182-dw13</c:v>
                  </c:pt>
                  <c:pt idx="17">
                    <c:v>N4861-dw5</c:v>
                  </c:pt>
                  <c:pt idx="18">
                    <c:v>N5204-dw3</c:v>
                  </c:pt>
                  <c:pt idx="19">
                    <c:v>N5585-dw11</c:v>
                  </c:pt>
                  <c:pt idx="20">
                    <c:v>N6503-dw6</c:v>
                  </c:pt>
                </c15:dlblRangeCache>
              </c15:datalabelsRange>
            </c:ext>
            <c:ext xmlns:c16="http://schemas.microsoft.com/office/drawing/2014/chart" uri="{C3380CC4-5D6E-409C-BE32-E72D297353CC}">
              <c16:uniqueId val="{0000001C-D119-DA4F-B597-618CE15A00D3}"/>
            </c:ext>
          </c:extLst>
        </c:ser>
        <c:ser>
          <c:idx val="16"/>
          <c:order val="32"/>
          <c:tx>
            <c:v>"Instrument"</c:v>
          </c:tx>
          <c:spPr>
            <a:ln w="19050" cap="rnd">
              <a:solidFill>
                <a:schemeClr val="accent5">
                  <a:lumMod val="80000"/>
                  <a:lumOff val="20000"/>
                </a:schemeClr>
              </a:solid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DCEFFD98-4E32-E440-B8C0-A1B03F0A3351}" type="CELLRANGE">
                      <a:rPr lang="en-US"/>
                      <a:pPr>
                        <a:defRPr sz="1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05D-A443-9B3A-36C31A2CF8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MODS!$BO$44</c:f>
              <c:numCache>
                <c:formatCode>General</c:formatCode>
                <c:ptCount val="1"/>
                <c:pt idx="0">
                  <c:v>12</c:v>
                </c:pt>
              </c:numCache>
            </c:numRef>
          </c:xVal>
          <c:yVal>
            <c:numRef>
              <c:f>MODS!$BP$44</c:f>
              <c:numCache>
                <c:formatCode>General</c:formatCode>
                <c:ptCount val="1"/>
                <c:pt idx="0">
                  <c:v>90</c:v>
                </c:pt>
              </c:numCache>
            </c:numRef>
          </c:yVal>
          <c:smooth val="1"/>
          <c:extLst>
            <c:ext xmlns:c15="http://schemas.microsoft.com/office/drawing/2012/chart" uri="{02D57815-91ED-43cb-92C2-25804820EDAC}">
              <c15:datalabelsRange>
                <c15:f>MODS!$BQ$44</c15:f>
                <c15:dlblRangeCache>
                  <c:ptCount val="1"/>
                  <c:pt idx="0">
                    <c:v>MODS</c:v>
                  </c:pt>
                </c15:dlblRangeCache>
              </c15:datalabelsRange>
            </c:ext>
            <c:ext xmlns:c16="http://schemas.microsoft.com/office/drawing/2014/chart" uri="{C3380CC4-5D6E-409C-BE32-E72D297353CC}">
              <c16:uniqueId val="{00000000-605D-A443-9B3A-36C31A2CF84A}"/>
            </c:ext>
          </c:extLst>
        </c:ser>
        <c:ser>
          <c:idx val="19"/>
          <c:order val="33"/>
          <c:tx>
            <c:v>"Now"</c:v>
          </c:tx>
          <c:spPr>
            <a:ln w="19050" cap="rnd">
              <a:noFill/>
              <a:round/>
            </a:ln>
            <a:effectLst/>
          </c:spPr>
          <c:marker>
            <c:symbol val="circle"/>
            <c:size val="7"/>
            <c:spPr>
              <a:noFill/>
              <a:ln w="15875">
                <a:solidFill>
                  <a:srgbClr val="C00000"/>
                </a:solidFill>
              </a:ln>
              <a:effectLst/>
            </c:spPr>
          </c:marker>
          <c:dLbls>
            <c:dLbl>
              <c:idx val="0"/>
              <c:tx>
                <c:rich>
                  <a:bodyPr/>
                  <a:lstStyle/>
                  <a:p>
                    <a:fld id="{ED06502A-2939-0C43-884D-482A860484C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05D-A443-9B3A-36C31A2CF84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MODS!$BO$45</c:f>
              <c:numCache>
                <c:formatCode>0.0</c:formatCode>
                <c:ptCount val="1"/>
                <c:pt idx="0">
                  <c:v>1.5666666666666669</c:v>
                </c:pt>
              </c:numCache>
            </c:numRef>
          </c:xVal>
          <c:yVal>
            <c:numRef>
              <c:f>MODS!$BP$45</c:f>
              <c:numCache>
                <c:formatCode>General</c:formatCode>
                <c:ptCount val="1"/>
                <c:pt idx="0">
                  <c:v>4</c:v>
                </c:pt>
              </c:numCache>
            </c:numRef>
          </c:yVal>
          <c:smooth val="1"/>
          <c:extLst>
            <c:ext xmlns:c15="http://schemas.microsoft.com/office/drawing/2012/chart" uri="{02D57815-91ED-43cb-92C2-25804820EDAC}">
              <c15:datalabelsRange>
                <c15:f>MODS!$BQ$45</c15:f>
                <c15:dlblRangeCache>
                  <c:ptCount val="1"/>
                  <c:pt idx="0">
                    <c:v>Now</c:v>
                  </c:pt>
                </c15:dlblRangeCache>
              </c15:datalabelsRange>
            </c:ext>
            <c:ext xmlns:c16="http://schemas.microsoft.com/office/drawing/2014/chart" uri="{C3380CC4-5D6E-409C-BE32-E72D297353CC}">
              <c16:uniqueId val="{00000005-605D-A443-9B3A-36C31A2CF84A}"/>
            </c:ext>
          </c:extLst>
        </c:ser>
        <c:ser>
          <c:idx val="34"/>
          <c:order val="34"/>
          <c:tx>
            <c:v>Alt at UT</c:v>
          </c:tx>
          <c:spPr>
            <a:ln w="19050" cap="rnd">
              <a:noFill/>
              <a:round/>
            </a:ln>
            <a:effectLst/>
          </c:spPr>
          <c:marker>
            <c:symbol val="circle"/>
            <c:size val="4"/>
            <c:spPr>
              <a:solidFill>
                <a:schemeClr val="lt1"/>
              </a:solidFill>
              <a:ln w="9525">
                <a:solidFill>
                  <a:schemeClr val="accent5">
                    <a:lumMod val="50000"/>
                  </a:schemeClr>
                </a:solidFill>
              </a:ln>
              <a:effectLst/>
            </c:spPr>
          </c:marker>
          <c:errBars>
            <c:errDir val="x"/>
            <c:errBarType val="plus"/>
            <c:errValType val="cust"/>
            <c:noEndCap val="0"/>
            <c:plus>
              <c:numRef>
                <c:f>MODS!$AU$4:$AU$24</c:f>
                <c:numCache>
                  <c:formatCode>General</c:formatCode>
                  <c:ptCount val="21"/>
                  <c:pt idx="0">
                    <c:v>#N/A</c:v>
                  </c:pt>
                  <c:pt idx="1">
                    <c:v>#N/A</c:v>
                  </c:pt>
                  <c:pt idx="2">
                    <c:v>#N/A</c:v>
                  </c:pt>
                  <c:pt idx="3">
                    <c:v>#N/A</c:v>
                  </c:pt>
                  <c:pt idx="4">
                    <c:v>#N/A</c:v>
                  </c:pt>
                  <c:pt idx="5">
                    <c:v>#N/A</c:v>
                  </c:pt>
                  <c:pt idx="6">
                    <c:v>#N/A</c:v>
                  </c:pt>
                  <c:pt idx="7">
                    <c:v>2.4538379457529946</c:v>
                  </c:pt>
                  <c:pt idx="8">
                    <c:v>#N/A</c:v>
                  </c:pt>
                  <c:pt idx="9">
                    <c:v>#N/A</c:v>
                  </c:pt>
                  <c:pt idx="10">
                    <c:v>#N/A</c:v>
                  </c:pt>
                  <c:pt idx="11">
                    <c:v>#N/A</c:v>
                  </c:pt>
                  <c:pt idx="12">
                    <c:v>5.7871712790863281</c:v>
                  </c:pt>
                  <c:pt idx="13">
                    <c:v>#N/A</c:v>
                  </c:pt>
                  <c:pt idx="14">
                    <c:v>#N/A</c:v>
                  </c:pt>
                  <c:pt idx="15">
                    <c:v>#N/A</c:v>
                  </c:pt>
                  <c:pt idx="16">
                    <c:v>#N/A</c:v>
                  </c:pt>
                  <c:pt idx="17">
                    <c:v>#N/A</c:v>
                  </c:pt>
                  <c:pt idx="18">
                    <c:v>#N/A</c:v>
                  </c:pt>
                  <c:pt idx="19">
                    <c:v>#N/A</c:v>
                  </c:pt>
                  <c:pt idx="20">
                    <c:v>#N/A</c:v>
                  </c:pt>
                </c:numCache>
              </c:numRef>
            </c:plus>
            <c:minus>
              <c:numRef>
                <c:f>MODS!$AU$4:$AU$24</c:f>
                <c:numCache>
                  <c:formatCode>General</c:formatCode>
                  <c:ptCount val="21"/>
                  <c:pt idx="0">
                    <c:v>#N/A</c:v>
                  </c:pt>
                  <c:pt idx="1">
                    <c:v>#N/A</c:v>
                  </c:pt>
                  <c:pt idx="2">
                    <c:v>#N/A</c:v>
                  </c:pt>
                  <c:pt idx="3">
                    <c:v>#N/A</c:v>
                  </c:pt>
                  <c:pt idx="4">
                    <c:v>#N/A</c:v>
                  </c:pt>
                  <c:pt idx="5">
                    <c:v>#N/A</c:v>
                  </c:pt>
                  <c:pt idx="6">
                    <c:v>#N/A</c:v>
                  </c:pt>
                  <c:pt idx="7">
                    <c:v>2.4538379457529946</c:v>
                  </c:pt>
                  <c:pt idx="8">
                    <c:v>#N/A</c:v>
                  </c:pt>
                  <c:pt idx="9">
                    <c:v>#N/A</c:v>
                  </c:pt>
                  <c:pt idx="10">
                    <c:v>#N/A</c:v>
                  </c:pt>
                  <c:pt idx="11">
                    <c:v>#N/A</c:v>
                  </c:pt>
                  <c:pt idx="12">
                    <c:v>5.7871712790863281</c:v>
                  </c:pt>
                  <c:pt idx="13">
                    <c:v>#N/A</c:v>
                  </c:pt>
                  <c:pt idx="14">
                    <c:v>#N/A</c:v>
                  </c:pt>
                  <c:pt idx="15">
                    <c:v>#N/A</c:v>
                  </c:pt>
                  <c:pt idx="16">
                    <c:v>#N/A</c:v>
                  </c:pt>
                  <c:pt idx="17">
                    <c:v>#N/A</c:v>
                  </c:pt>
                  <c:pt idx="18">
                    <c:v>#N/A</c:v>
                  </c:pt>
                  <c:pt idx="19">
                    <c:v>#N/A</c:v>
                  </c:pt>
                  <c:pt idx="20">
                    <c:v>#N/A</c:v>
                  </c:pt>
                </c:numCache>
              </c:numRef>
            </c:minus>
            <c:spPr>
              <a:ln cmpd="sng">
                <a:solidFill>
                  <a:schemeClr val="bg1">
                    <a:lumMod val="65000"/>
                  </a:schemeClr>
                </a:solidFill>
                <a:prstDash val="solid"/>
              </a:ln>
            </c:spPr>
          </c:errBars>
          <c:errBars>
            <c:errDir val="y"/>
            <c:errBarType val="both"/>
            <c:errValType val="percentage"/>
            <c:noEndCap val="1"/>
            <c:val val="5"/>
            <c:spPr>
              <a:ln>
                <a:noFill/>
              </a:ln>
            </c:spPr>
          </c:errBars>
          <c:xVal>
            <c:numRef>
              <c:f>Calcs!$N$6:$N$26</c:f>
              <c:numCache>
                <c:formatCode>0.00</c:formatCode>
                <c:ptCount val="21"/>
                <c:pt idx="0">
                  <c:v>1.5666666666666669</c:v>
                </c:pt>
                <c:pt idx="1">
                  <c:v>1.5666666666666669</c:v>
                </c:pt>
                <c:pt idx="2">
                  <c:v>1.5666666666666669</c:v>
                </c:pt>
                <c:pt idx="3">
                  <c:v>1.5666666666666669</c:v>
                </c:pt>
                <c:pt idx="4">
                  <c:v>#N/A</c:v>
                </c:pt>
                <c:pt idx="5">
                  <c:v>1.5666666666666669</c:v>
                </c:pt>
                <c:pt idx="6">
                  <c:v>1.5666666666666669</c:v>
                </c:pt>
                <c:pt idx="7">
                  <c:v>1.5666666666666669</c:v>
                </c:pt>
                <c:pt idx="8">
                  <c:v>1.5666666666666669</c:v>
                </c:pt>
                <c:pt idx="9">
                  <c:v>1.5666666666666669</c:v>
                </c:pt>
                <c:pt idx="10">
                  <c:v>1.5666666666666669</c:v>
                </c:pt>
                <c:pt idx="11">
                  <c:v>#N/A</c:v>
                </c:pt>
                <c:pt idx="12">
                  <c:v>1.5666666666666669</c:v>
                </c:pt>
                <c:pt idx="13">
                  <c:v>#N/A</c:v>
                </c:pt>
                <c:pt idx="14">
                  <c:v>1.5666666666666669</c:v>
                </c:pt>
                <c:pt idx="15">
                  <c:v>1.5666666666666669</c:v>
                </c:pt>
                <c:pt idx="16">
                  <c:v>1.5666666666666669</c:v>
                </c:pt>
                <c:pt idx="17">
                  <c:v>#N/A</c:v>
                </c:pt>
                <c:pt idx="18">
                  <c:v>#N/A</c:v>
                </c:pt>
                <c:pt idx="19">
                  <c:v>1.5666666666666669</c:v>
                </c:pt>
                <c:pt idx="20">
                  <c:v>1.5666666666666669</c:v>
                </c:pt>
              </c:numCache>
            </c:numRef>
          </c:xVal>
          <c:yVal>
            <c:numRef>
              <c:f>MODS!$AE$4:$AE$24</c:f>
              <c:numCache>
                <c:formatCode>0</c:formatCode>
                <c:ptCount val="21"/>
                <c:pt idx="0">
                  <c:v>-14.80679400226955</c:v>
                </c:pt>
                <c:pt idx="1">
                  <c:v>-4.4876354410315882</c:v>
                </c:pt>
                <c:pt idx="2">
                  <c:v>20.527637887143513</c:v>
                </c:pt>
                <c:pt idx="3">
                  <c:v>-14.732802692650987</c:v>
                </c:pt>
                <c:pt idx="4">
                  <c:v>#N/A</c:v>
                </c:pt>
                <c:pt idx="5">
                  <c:v>-25.907500358015742</c:v>
                </c:pt>
                <c:pt idx="6">
                  <c:v>-13.221735895225329</c:v>
                </c:pt>
                <c:pt idx="7">
                  <c:v>50.360619199693645</c:v>
                </c:pt>
                <c:pt idx="8">
                  <c:v>1.3175711579851976</c:v>
                </c:pt>
                <c:pt idx="9">
                  <c:v>69.488781887466416</c:v>
                </c:pt>
                <c:pt idx="10">
                  <c:v>41.992318258227286</c:v>
                </c:pt>
                <c:pt idx="11">
                  <c:v>#N/A</c:v>
                </c:pt>
                <c:pt idx="12">
                  <c:v>45.763441447038453</c:v>
                </c:pt>
                <c:pt idx="13">
                  <c:v>#N/A</c:v>
                </c:pt>
                <c:pt idx="14">
                  <c:v>18.0095629042826</c:v>
                </c:pt>
                <c:pt idx="15">
                  <c:v>23.367340915101316</c:v>
                </c:pt>
                <c:pt idx="16">
                  <c:v>-1.2618272654095537</c:v>
                </c:pt>
                <c:pt idx="17">
                  <c:v>#N/A</c:v>
                </c:pt>
                <c:pt idx="18">
                  <c:v>#N/A</c:v>
                </c:pt>
                <c:pt idx="19">
                  <c:v>3.7291320459990223</c:v>
                </c:pt>
                <c:pt idx="20">
                  <c:v>13.039133396713426</c:v>
                </c:pt>
              </c:numCache>
            </c:numRef>
          </c:yVal>
          <c:smooth val="1"/>
          <c:extLst>
            <c:ext xmlns:c16="http://schemas.microsoft.com/office/drawing/2014/chart" uri="{C3380CC4-5D6E-409C-BE32-E72D297353CC}">
              <c16:uniqueId val="{00000000-F5F7-1F47-A989-A3C59B5A3379}"/>
            </c:ext>
          </c:extLst>
        </c:ser>
        <c:ser>
          <c:idx val="35"/>
          <c:order val="35"/>
          <c:tx>
            <c:v>Local Time</c:v>
          </c:tx>
          <c:spPr>
            <a:ln w="19050" cap="rnd">
              <a:noFill/>
              <a:round/>
            </a:ln>
            <a:effectLst/>
          </c:spPr>
          <c:marker>
            <c:symbol val="none"/>
          </c:marker>
          <c:dLbls>
            <c:dLbl>
              <c:idx val="0"/>
              <c:tx>
                <c:rich>
                  <a:bodyPr/>
                  <a:lstStyle/>
                  <a:p>
                    <a:fld id="{A2592CF5-B87D-3944-8353-62D51C09661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383-2C4E-86B3-689E7F9F7D73}"/>
                </c:ext>
              </c:extLst>
            </c:dLbl>
            <c:dLbl>
              <c:idx val="1"/>
              <c:tx>
                <c:rich>
                  <a:bodyPr/>
                  <a:lstStyle/>
                  <a:p>
                    <a:fld id="{0BF185D9-3704-1D46-ADD8-E33078C3E6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383-2C4E-86B3-689E7F9F7D73}"/>
                </c:ext>
              </c:extLst>
            </c:dLbl>
            <c:dLbl>
              <c:idx val="2"/>
              <c:tx>
                <c:rich>
                  <a:bodyPr/>
                  <a:lstStyle/>
                  <a:p>
                    <a:fld id="{968511E2-6977-FB45-80D9-04C8D7EC5A9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383-2C4E-86B3-689E7F9F7D73}"/>
                </c:ext>
              </c:extLst>
            </c:dLbl>
            <c:dLbl>
              <c:idx val="3"/>
              <c:tx>
                <c:rich>
                  <a:bodyPr/>
                  <a:lstStyle/>
                  <a:p>
                    <a:fld id="{28AD7C95-721E-6B4E-BDDE-1B24DDC7912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383-2C4E-86B3-689E7F9F7D73}"/>
                </c:ext>
              </c:extLst>
            </c:dLbl>
            <c:dLbl>
              <c:idx val="4"/>
              <c:tx>
                <c:rich>
                  <a:bodyPr/>
                  <a:lstStyle/>
                  <a:p>
                    <a:fld id="{79FB620F-CC09-6F40-9562-50B625762AC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383-2C4E-86B3-689E7F9F7D73}"/>
                </c:ext>
              </c:extLst>
            </c:dLbl>
            <c:dLbl>
              <c:idx val="5"/>
              <c:tx>
                <c:rich>
                  <a:bodyPr/>
                  <a:lstStyle/>
                  <a:p>
                    <a:fld id="{84811B80-940F-3644-98D1-23F5A94D4B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383-2C4E-86B3-689E7F9F7D73}"/>
                </c:ext>
              </c:extLst>
            </c:dLbl>
            <c:dLbl>
              <c:idx val="6"/>
              <c:tx>
                <c:rich>
                  <a:bodyPr/>
                  <a:lstStyle/>
                  <a:p>
                    <a:fld id="{6015E6DA-E694-594E-8C03-47E3C78E7E2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383-2C4E-86B3-689E7F9F7D73}"/>
                </c:ext>
              </c:extLst>
            </c:dLbl>
            <c:dLbl>
              <c:idx val="7"/>
              <c:tx>
                <c:rich>
                  <a:bodyPr/>
                  <a:lstStyle/>
                  <a:p>
                    <a:fld id="{E9A620D6-CD2C-D14E-8713-80A35B8DC03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383-2C4E-86B3-689E7F9F7D73}"/>
                </c:ext>
              </c:extLst>
            </c:dLbl>
            <c:dLbl>
              <c:idx val="8"/>
              <c:tx>
                <c:rich>
                  <a:bodyPr/>
                  <a:lstStyle/>
                  <a:p>
                    <a:fld id="{04814BB3-8048-E846-B49B-CD243CD34A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383-2C4E-86B3-689E7F9F7D73}"/>
                </c:ext>
              </c:extLst>
            </c:dLbl>
            <c:dLbl>
              <c:idx val="9"/>
              <c:tx>
                <c:rich>
                  <a:bodyPr/>
                  <a:lstStyle/>
                  <a:p>
                    <a:fld id="{E64A4EB5-2C37-604E-B07C-B13EB985A25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383-2C4E-86B3-689E7F9F7D73}"/>
                </c:ext>
              </c:extLst>
            </c:dLbl>
            <c:dLbl>
              <c:idx val="10"/>
              <c:tx>
                <c:rich>
                  <a:bodyPr/>
                  <a:lstStyle/>
                  <a:p>
                    <a:fld id="{42B354D8-1987-1440-9141-19F09D03B4B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383-2C4E-86B3-689E7F9F7D73}"/>
                </c:ext>
              </c:extLst>
            </c:dLbl>
            <c:dLbl>
              <c:idx val="11"/>
              <c:tx>
                <c:rich>
                  <a:bodyPr/>
                  <a:lstStyle/>
                  <a:p>
                    <a:fld id="{A3D86C59-1D8B-BF40-B358-AE52823C218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383-2C4E-86B3-689E7F9F7D73}"/>
                </c:ext>
              </c:extLst>
            </c:dLbl>
            <c:dLbl>
              <c:idx val="12"/>
              <c:tx>
                <c:rich>
                  <a:bodyPr/>
                  <a:lstStyle/>
                  <a:p>
                    <a:fld id="{0B26F46E-0D08-494C-9BA5-D1AC68CE8A0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383-2C4E-86B3-689E7F9F7D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Calcs!$S$4:$S$16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Calcs!$T$4:$T$16</c:f>
              <c:numCache>
                <c:formatCode>General</c:formatCode>
                <c:ptCount val="13"/>
                <c:pt idx="0">
                  <c:v>88</c:v>
                </c:pt>
                <c:pt idx="1">
                  <c:v>88</c:v>
                </c:pt>
                <c:pt idx="2">
                  <c:v>88</c:v>
                </c:pt>
                <c:pt idx="3">
                  <c:v>88</c:v>
                </c:pt>
                <c:pt idx="4">
                  <c:v>88</c:v>
                </c:pt>
                <c:pt idx="5">
                  <c:v>88</c:v>
                </c:pt>
                <c:pt idx="6">
                  <c:v>88</c:v>
                </c:pt>
                <c:pt idx="7">
                  <c:v>88</c:v>
                </c:pt>
                <c:pt idx="8">
                  <c:v>88</c:v>
                </c:pt>
                <c:pt idx="9">
                  <c:v>88</c:v>
                </c:pt>
                <c:pt idx="10">
                  <c:v>88</c:v>
                </c:pt>
                <c:pt idx="11">
                  <c:v>88</c:v>
                </c:pt>
                <c:pt idx="12">
                  <c:v>88</c:v>
                </c:pt>
              </c:numCache>
            </c:numRef>
          </c:yVal>
          <c:smooth val="1"/>
          <c:extLst>
            <c:ext xmlns:c15="http://schemas.microsoft.com/office/drawing/2012/chart" uri="{02D57815-91ED-43cb-92C2-25804820EDAC}">
              <c15:datalabelsRange>
                <c15:f>Calcs!$U$4:$U$16</c15:f>
                <c15:dlblRangeCache>
                  <c:ptCount val="13"/>
                  <c:pt idx="0">
                    <c:v>8 pm</c:v>
                  </c:pt>
                  <c:pt idx="1">
                    <c:v>9 pm</c:v>
                  </c:pt>
                  <c:pt idx="2">
                    <c:v>10 pm</c:v>
                  </c:pt>
                  <c:pt idx="3">
                    <c:v>11 pm</c:v>
                  </c:pt>
                  <c:pt idx="4">
                    <c:v>0 am</c:v>
                  </c:pt>
                  <c:pt idx="5">
                    <c:v>1 am</c:v>
                  </c:pt>
                  <c:pt idx="6">
                    <c:v>2 am</c:v>
                  </c:pt>
                  <c:pt idx="7">
                    <c:v>3 am</c:v>
                  </c:pt>
                  <c:pt idx="8">
                    <c:v>4 am</c:v>
                  </c:pt>
                  <c:pt idx="9">
                    <c:v>5 am</c:v>
                  </c:pt>
                  <c:pt idx="10">
                    <c:v>6 am</c:v>
                  </c:pt>
                  <c:pt idx="11">
                    <c:v>7 am</c:v>
                  </c:pt>
                  <c:pt idx="12">
                    <c:v>8 am</c:v>
                  </c:pt>
                </c15:dlblRangeCache>
              </c15:datalabelsRange>
            </c:ext>
            <c:ext xmlns:c16="http://schemas.microsoft.com/office/drawing/2014/chart" uri="{C3380CC4-5D6E-409C-BE32-E72D297353CC}">
              <c16:uniqueId val="{00000002-E383-2C4E-86B3-689E7F9F7D73}"/>
            </c:ext>
          </c:extLst>
        </c:ser>
        <c:ser>
          <c:idx val="36"/>
          <c:order val="36"/>
          <c:tx>
            <c:v>Partner</c:v>
          </c:tx>
          <c:spPr>
            <a:ln>
              <a:noFill/>
            </a:ln>
          </c:spPr>
          <c:marker>
            <c:symbol val="none"/>
          </c:marker>
          <c:dLbls>
            <c:dLbl>
              <c:idx val="0"/>
              <c:tx>
                <c:rich>
                  <a:bodyPr/>
                  <a:lstStyle/>
                  <a:p>
                    <a:fld id="{221294F4-1B7B-B243-9158-274CD3D7A63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6D5-954D-8495-5382F473CA68}"/>
                </c:ext>
              </c:extLst>
            </c:dLbl>
            <c:dLbl>
              <c:idx val="1"/>
              <c:tx>
                <c:rich>
                  <a:bodyPr/>
                  <a:lstStyle/>
                  <a:p>
                    <a:fld id="{3B5350D7-C38F-7B4D-B926-B7ADE3CA1FA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6D5-954D-8495-5382F473CA68}"/>
                </c:ext>
              </c:extLst>
            </c:dLbl>
            <c:dLbl>
              <c:idx val="2"/>
              <c:tx>
                <c:rich>
                  <a:bodyPr/>
                  <a:lstStyle/>
                  <a:p>
                    <a:fld id="{8F2BD93B-B591-D641-BAAD-44786159C6D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6D5-954D-8495-5382F473CA68}"/>
                </c:ext>
              </c:extLst>
            </c:dLbl>
            <c:dLbl>
              <c:idx val="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D6D5-954D-8495-5382F473CA68}"/>
                </c:ext>
              </c:extLst>
            </c:dLbl>
            <c:dLbl>
              <c:idx val="4"/>
              <c:tx>
                <c:rich>
                  <a:bodyPr/>
                  <a:lstStyle/>
                  <a:p>
                    <a:fld id="{A3CFB4A3-B336-8742-86DC-C22AF035D36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6D5-954D-8495-5382F473CA68}"/>
                </c:ext>
              </c:extLst>
            </c:dLbl>
            <c:dLbl>
              <c:idx val="5"/>
              <c:tx>
                <c:rich>
                  <a:bodyPr/>
                  <a:lstStyle/>
                  <a:p>
                    <a:fld id="{57B0B3A6-9391-AF44-BD83-6B45835FA09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6D5-954D-8495-5382F473CA68}"/>
                </c:ext>
              </c:extLst>
            </c:dLbl>
            <c:dLbl>
              <c:idx val="6"/>
              <c:tx>
                <c:rich>
                  <a:bodyPr/>
                  <a:lstStyle/>
                  <a:p>
                    <a:fld id="{CFF96B24-15F5-AF4C-8A17-FAB7FDEDB1F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6D5-954D-8495-5382F473CA68}"/>
                </c:ext>
              </c:extLst>
            </c:dLbl>
            <c:dLbl>
              <c:idx val="7"/>
              <c:tx>
                <c:rich>
                  <a:bodyPr/>
                  <a:lstStyle/>
                  <a:p>
                    <a:fld id="{E3A5AEF8-AAE0-F441-B184-8167792D335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6D5-954D-8495-5382F473CA68}"/>
                </c:ext>
              </c:extLst>
            </c:dLbl>
            <c:dLbl>
              <c:idx val="8"/>
              <c:tx>
                <c:rich>
                  <a:bodyPr/>
                  <a:lstStyle/>
                  <a:p>
                    <a:fld id="{D6F87DF5-4F9B-B04F-BED4-442CBB96676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6D5-954D-8495-5382F473CA68}"/>
                </c:ext>
              </c:extLst>
            </c:dLbl>
            <c:dLbl>
              <c:idx val="9"/>
              <c:tx>
                <c:rich>
                  <a:bodyPr/>
                  <a:lstStyle/>
                  <a:p>
                    <a:fld id="{AACE3236-02BC-E545-832A-B5139C4DA7A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6D5-954D-8495-5382F473CA68}"/>
                </c:ext>
              </c:extLst>
            </c:dLbl>
            <c:dLbl>
              <c:idx val="1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D6D5-954D-8495-5382F473CA68}"/>
                </c:ext>
              </c:extLst>
            </c:dLbl>
            <c:dLbl>
              <c:idx val="11"/>
              <c:tx>
                <c:rich>
                  <a:bodyPr/>
                  <a:lstStyle/>
                  <a:p>
                    <a:fld id="{FDD42D69-2BD4-3647-9D0D-D2CEB6C0E0E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6D5-954D-8495-5382F473CA68}"/>
                </c:ext>
              </c:extLst>
            </c:dLbl>
            <c:dLbl>
              <c:idx val="1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D6D5-954D-8495-5382F473CA68}"/>
                </c:ext>
              </c:extLst>
            </c:dLbl>
            <c:dLbl>
              <c:idx val="13"/>
              <c:tx>
                <c:rich>
                  <a:bodyPr/>
                  <a:lstStyle/>
                  <a:p>
                    <a:fld id="{DC865517-7007-4F49-B733-FC0CBD32AC4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6D5-954D-8495-5382F473CA68}"/>
                </c:ext>
              </c:extLst>
            </c:dLbl>
            <c:dLbl>
              <c:idx val="14"/>
              <c:tx>
                <c:rich>
                  <a:bodyPr/>
                  <a:lstStyle/>
                  <a:p>
                    <a:fld id="{D27052FC-6D9A-5542-908F-E4CA091851F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6D5-954D-8495-5382F473CA68}"/>
                </c:ext>
              </c:extLst>
            </c:dLbl>
            <c:dLbl>
              <c:idx val="15"/>
              <c:tx>
                <c:rich>
                  <a:bodyPr/>
                  <a:lstStyle/>
                  <a:p>
                    <a:fld id="{A353F698-D7B8-7C43-980C-E61DA411FB6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6D5-954D-8495-5382F473CA68}"/>
                </c:ext>
              </c:extLst>
            </c:dLbl>
            <c:dLbl>
              <c:idx val="1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D6D5-954D-8495-5382F473CA68}"/>
                </c:ext>
              </c:extLst>
            </c:dLbl>
            <c:dLbl>
              <c:idx val="1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D6D5-954D-8495-5382F473CA68}"/>
                </c:ext>
              </c:extLst>
            </c:dLbl>
            <c:dLbl>
              <c:idx val="18"/>
              <c:tx>
                <c:rich>
                  <a:bodyPr/>
                  <a:lstStyle/>
                  <a:p>
                    <a:fld id="{ED1FECC4-AF01-534F-A1DB-384F8ACB3C2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6D5-954D-8495-5382F473CA68}"/>
                </c:ext>
              </c:extLst>
            </c:dLbl>
            <c:dLbl>
              <c:idx val="19"/>
              <c:tx>
                <c:rich>
                  <a:bodyPr/>
                  <a:lstStyle/>
                  <a:p>
                    <a:fld id="{ED743AE3-4E6E-5841-832D-059254EC3CA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D6D5-954D-8495-5382F473CA68}"/>
                </c:ext>
              </c:extLst>
            </c:dLbl>
            <c:spPr>
              <a:solidFill>
                <a:schemeClr val="lt1"/>
              </a:solidFill>
              <a:ln>
                <a:noFill/>
              </a:ln>
              <a:effectLst/>
            </c:spPr>
            <c:txPr>
              <a:bodyPr rot="-5400000" vert="horz" wrap="square" lIns="38100" tIns="19050" rIns="38100" bIns="19050" anchor="ctr">
                <a:spAutoFit/>
              </a:bodyPr>
              <a:lstStyle/>
              <a:p>
                <a:pPr>
                  <a:defRPr sz="700" b="1"/>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MODS!$AP$5:$AP$24</c:f>
              <c:numCache>
                <c:formatCode>0.0</c:formatCode>
                <c:ptCount val="20"/>
                <c:pt idx="0">
                  <c:v>9.837171279086327</c:v>
                </c:pt>
                <c:pt idx="1">
                  <c:v>8.4871712790863292</c:v>
                </c:pt>
                <c:pt idx="2">
                  <c:v>11.503837945752995</c:v>
                </c:pt>
                <c:pt idx="3">
                  <c:v>#N/A</c:v>
                </c:pt>
                <c:pt idx="4">
                  <c:v>11.037171279086326</c:v>
                </c:pt>
                <c:pt idx="5">
                  <c:v>9.8038379457529956</c:v>
                </c:pt>
                <c:pt idx="6">
                  <c:v>1.3205046124196613</c:v>
                </c:pt>
                <c:pt idx="7">
                  <c:v>7.953837945752996</c:v>
                </c:pt>
                <c:pt idx="8">
                  <c:v>1.9371712790863276</c:v>
                </c:pt>
                <c:pt idx="9">
                  <c:v>4.8371712790863279</c:v>
                </c:pt>
                <c:pt idx="10">
                  <c:v>#N/A</c:v>
                </c:pt>
                <c:pt idx="11">
                  <c:v>5.2538379457529949</c:v>
                </c:pt>
                <c:pt idx="12">
                  <c:v>#N/A</c:v>
                </c:pt>
                <c:pt idx="13">
                  <c:v>8.5371712790863281</c:v>
                </c:pt>
                <c:pt idx="14">
                  <c:v>9.0371712790863263</c:v>
                </c:pt>
                <c:pt idx="15">
                  <c:v>9.8205046124196613</c:v>
                </c:pt>
                <c:pt idx="16">
                  <c:v>#N/A</c:v>
                </c:pt>
                <c:pt idx="17">
                  <c:v>#N/A</c:v>
                </c:pt>
                <c:pt idx="18">
                  <c:v>11.287171279086328</c:v>
                </c:pt>
                <c:pt idx="19">
                  <c:v>14.420504612419661</c:v>
                </c:pt>
              </c:numCache>
            </c:numRef>
          </c:xVal>
          <c:yVal>
            <c:numRef>
              <c:f>MODS!$AQ$5:$AQ$24</c:f>
              <c:numCache>
                <c:formatCode>0</c:formatCode>
                <c:ptCount val="20"/>
                <c:pt idx="0">
                  <c:v>87.866666666666674</c:v>
                </c:pt>
                <c:pt idx="1">
                  <c:v>64.833333333333329</c:v>
                </c:pt>
                <c:pt idx="2">
                  <c:v>85.9</c:v>
                </c:pt>
                <c:pt idx="3">
                  <c:v>#N/A</c:v>
                </c:pt>
                <c:pt idx="4">
                  <c:v>77.449999999999989</c:v>
                </c:pt>
                <c:pt idx="5">
                  <c:v>79.316666666666691</c:v>
                </c:pt>
                <c:pt idx="6">
                  <c:v>50.51666666666668</c:v>
                </c:pt>
                <c:pt idx="7">
                  <c:v>68.666666666666671</c:v>
                </c:pt>
                <c:pt idx="8">
                  <c:v>69.883333333333326</c:v>
                </c:pt>
                <c:pt idx="9">
                  <c:v>71.783333333333346</c:v>
                </c:pt>
                <c:pt idx="10">
                  <c:v>#N/A</c:v>
                </c:pt>
                <c:pt idx="11">
                  <c:v>81.34999999999998</c:v>
                </c:pt>
                <c:pt idx="12">
                  <c:v>#N/A</c:v>
                </c:pt>
                <c:pt idx="13">
                  <c:v>69.11666666666666</c:v>
                </c:pt>
                <c:pt idx="14">
                  <c:v>53.04999999999999</c:v>
                </c:pt>
                <c:pt idx="15">
                  <c:v>83.549999999999983</c:v>
                </c:pt>
                <c:pt idx="16">
                  <c:v>#N/A</c:v>
                </c:pt>
                <c:pt idx="17">
                  <c:v>#N/A</c:v>
                </c:pt>
                <c:pt idx="18">
                  <c:v>66.283333333333331</c:v>
                </c:pt>
                <c:pt idx="19">
                  <c:v>52.783333333333346</c:v>
                </c:pt>
              </c:numCache>
            </c:numRef>
          </c:yVal>
          <c:smooth val="1"/>
          <c:extLst>
            <c:ext xmlns:c15="http://schemas.microsoft.com/office/drawing/2012/chart" uri="{02D57815-91ED-43cb-92C2-25804820EDAC}">
              <c15:datalabelsRange>
                <c15:f>MODS!$X$5:$X$24</c15:f>
                <c15:dlblRangeCache>
                  <c:ptCount val="20"/>
                  <c:pt idx="0">
                    <c:v>OSU</c:v>
                  </c:pt>
                  <c:pt idx="1">
                    <c:v>UM</c:v>
                  </c:pt>
                  <c:pt idx="2">
                    <c:v>OSU</c:v>
                  </c:pt>
                  <c:pt idx="4">
                    <c:v>UVa</c:v>
                  </c:pt>
                  <c:pt idx="5">
                    <c:v>Cal</c:v>
                  </c:pt>
                  <c:pt idx="6">
                    <c:v>OSU</c:v>
                  </c:pt>
                  <c:pt idx="7">
                    <c:v>OSU</c:v>
                  </c:pt>
                  <c:pt idx="8">
                    <c:v>Cal</c:v>
                  </c:pt>
                  <c:pt idx="9">
                    <c:v>OSU</c:v>
                  </c:pt>
                  <c:pt idx="10">
                    <c:v>OSU</c:v>
                  </c:pt>
                  <c:pt idx="11">
                    <c:v>OSU</c:v>
                  </c:pt>
                  <c:pt idx="12">
                    <c:v>OSU</c:v>
                  </c:pt>
                  <c:pt idx="13">
                    <c:v>OSU</c:v>
                  </c:pt>
                  <c:pt idx="14">
                    <c:v>OSU</c:v>
                  </c:pt>
                  <c:pt idx="15">
                    <c:v>OSU</c:v>
                  </c:pt>
                  <c:pt idx="16">
                    <c:v>OSU</c:v>
                  </c:pt>
                  <c:pt idx="17">
                    <c:v>OSU</c:v>
                  </c:pt>
                  <c:pt idx="18">
                    <c:v>OSU</c:v>
                  </c:pt>
                  <c:pt idx="19">
                    <c:v>OSU</c:v>
                  </c:pt>
                </c15:dlblRangeCache>
              </c15:datalabelsRange>
            </c:ext>
            <c:ext xmlns:c16="http://schemas.microsoft.com/office/drawing/2014/chart" uri="{C3380CC4-5D6E-409C-BE32-E72D297353CC}">
              <c16:uniqueId val="{00000002-D6D5-954D-8495-5382F473CA68}"/>
            </c:ext>
          </c:extLst>
        </c:ser>
        <c:ser>
          <c:idx val="37"/>
          <c:order val="37"/>
          <c:tx>
            <c:v>Date</c:v>
          </c:tx>
          <c:marker>
            <c:symbol val="none"/>
          </c:marker>
          <c:dLbls>
            <c:dLbl>
              <c:idx val="0"/>
              <c:tx>
                <c:rich>
                  <a:bodyPr/>
                  <a:lstStyle/>
                  <a:p>
                    <a:fld id="{66F783B7-26F7-954A-B109-B6AA7194293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6F0-AC49-97CF-167DE514F33A}"/>
                </c:ext>
              </c:extLst>
            </c:dLbl>
            <c:spPr>
              <a:noFill/>
              <a:ln>
                <a:noFill/>
              </a:ln>
              <a:effectLst/>
            </c:spPr>
            <c:txPr>
              <a:bodyPr wrap="square" lIns="38100" tIns="19050" rIns="38100" bIns="19050" anchor="ctr">
                <a:spAutoFit/>
              </a:bodyPr>
              <a:lstStyle/>
              <a:p>
                <a:pPr>
                  <a:defRPr sz="1600">
                    <a:solidFill>
                      <a:schemeClr val="tx1">
                        <a:lumMod val="65000"/>
                        <a:lumOff val="35000"/>
                      </a:schemeClr>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Calcs!$S$20</c:f>
              <c:numCache>
                <c:formatCode>General</c:formatCode>
                <c:ptCount val="1"/>
                <c:pt idx="0">
                  <c:v>2</c:v>
                </c:pt>
              </c:numCache>
            </c:numRef>
          </c:xVal>
          <c:yVal>
            <c:numRef>
              <c:f>Calcs!$T$20</c:f>
              <c:numCache>
                <c:formatCode>General</c:formatCode>
                <c:ptCount val="1"/>
                <c:pt idx="0">
                  <c:v>90</c:v>
                </c:pt>
              </c:numCache>
            </c:numRef>
          </c:yVal>
          <c:smooth val="1"/>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76F0-AC49-97CF-167DE514F33A}"/>
            </c:ext>
          </c:extLst>
        </c:ser>
        <c:dLbls>
          <c:showLegendKey val="0"/>
          <c:showVal val="0"/>
          <c:showCatName val="0"/>
          <c:showSerName val="0"/>
          <c:showPercent val="0"/>
          <c:showBubbleSize val="0"/>
        </c:dLbls>
        <c:axId val="241103296"/>
        <c:axId val="580761936"/>
      </c:scatterChart>
      <c:valAx>
        <c:axId val="241103296"/>
        <c:scaling>
          <c:orientation val="minMax"/>
          <c:max val="1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UT (hr)</a:t>
                </a:r>
              </a:p>
            </c:rich>
          </c:tx>
          <c:overlay val="0"/>
          <c:spPr>
            <a:noFill/>
            <a:ln>
              <a:noFill/>
            </a:ln>
            <a:effectLst/>
          </c:sp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0761936"/>
        <c:crosses val="autoZero"/>
        <c:crossBetween val="midCat"/>
        <c:majorUnit val="1"/>
      </c:valAx>
      <c:valAx>
        <c:axId val="580761936"/>
        <c:scaling>
          <c:orientation val="minMax"/>
          <c:max val="9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Altitude (deg)</a:t>
                </a:r>
              </a:p>
            </c:rich>
          </c:tx>
          <c:overlay val="0"/>
          <c:spPr>
            <a:noFill/>
            <a:ln>
              <a:noFill/>
            </a:ln>
            <a:effectLst/>
          </c:spPr>
        </c:title>
        <c:numFmt formatCode="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1103296"/>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100000">
          <a:schemeClr val="accent1">
            <a:lumMod val="30000"/>
            <a:lumOff val="70000"/>
          </a:schemeClr>
        </a:gs>
      </a:gsLst>
      <a:lin ang="2700000" scaled="1"/>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Objects</c:v>
          </c:tx>
          <c:spPr>
            <a:ln w="38100" cap="rnd">
              <a:noFill/>
              <a:round/>
            </a:ln>
            <a:effectLst/>
          </c:spPr>
          <c:marker>
            <c:symbol val="none"/>
          </c:marker>
          <c:dLbls>
            <c:dLbl>
              <c:idx val="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DBE8-624E-84C2-514BF19A98A0}"/>
                </c:ext>
              </c:extLst>
            </c:dLbl>
            <c:dLbl>
              <c:idx val="1"/>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DBE8-624E-84C2-514BF19A98A0}"/>
                </c:ext>
              </c:extLst>
            </c:dLbl>
            <c:dLbl>
              <c:idx val="2"/>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DD44D634-E728-9B46-9227-B4F112E647EE}" type="CELLRANGE">
                      <a:rPr lang="en-US"/>
                      <a:pPr>
                        <a:defRPr sz="1000" b="1">
                          <a:solidFill>
                            <a:srgbClr val="FF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BE8-624E-84C2-514BF19A98A0}"/>
                </c:ext>
              </c:extLst>
            </c:dLbl>
            <c:dLbl>
              <c:idx val="3"/>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DBE8-624E-84C2-514BF19A98A0}"/>
                </c:ext>
              </c:extLst>
            </c:dLbl>
            <c:dLbl>
              <c:idx val="4"/>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DBE8-624E-84C2-514BF19A98A0}"/>
                </c:ext>
              </c:extLst>
            </c:dLbl>
            <c:dLbl>
              <c:idx val="5"/>
              <c:tx>
                <c:rich>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DBE8-624E-84C2-514BF19A98A0}"/>
                </c:ext>
              </c:extLst>
            </c:dLbl>
            <c:dLbl>
              <c:idx val="6"/>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DBE8-624E-84C2-514BF19A98A0}"/>
                </c:ext>
              </c:extLst>
            </c:dLbl>
            <c:dLbl>
              <c:idx val="7"/>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40D4A1E0-4060-E047-9436-6408DEECBFE2}" type="CELLRANGE">
                      <a:rPr lang="en-US"/>
                      <a:pPr>
                        <a:defRPr sz="1000" b="1">
                          <a:solidFill>
                            <a:srgbClr val="0070C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BE8-624E-84C2-514BF19A98A0}"/>
                </c:ext>
              </c:extLst>
            </c:dLbl>
            <c:dLbl>
              <c:idx val="8"/>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68B6A406-1B64-1646-BAD3-4D8119A4D12A}" type="CELLRANGE">
                      <a:rPr lang="en-US"/>
                      <a:pPr>
                        <a:defRPr sz="1000" b="1">
                          <a:solidFill>
                            <a:srgbClr val="0070C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BE8-624E-84C2-514BF19A98A0}"/>
                </c:ext>
              </c:extLst>
            </c:dLbl>
            <c:dLbl>
              <c:idx val="9"/>
              <c:tx>
                <c:rich>
                  <a:bodyPr/>
                  <a:lstStyle/>
                  <a:p>
                    <a:fld id="{91E29B6A-6062-B040-A31C-48E8F056E1A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BE8-624E-84C2-514BF19A98A0}"/>
                </c:ext>
              </c:extLst>
            </c:dLbl>
            <c:dLbl>
              <c:idx val="10"/>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1F7B25D1-9F4E-E346-9FA1-4E25984CBDA9}" type="CELLRANGE">
                      <a:rPr lang="en-US"/>
                      <a:pPr>
                        <a:defRPr sz="1000" b="1">
                          <a:solidFill>
                            <a:srgbClr val="0070C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BE8-624E-84C2-514BF19A98A0}"/>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DBE8-624E-84C2-514BF19A98A0}"/>
                </c:ext>
              </c:extLst>
            </c:dLbl>
            <c:dLbl>
              <c:idx val="12"/>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293FE622-EA3D-4741-B4FD-511A66BA0549}" type="CELLRANGE">
                      <a:rPr lang="en-US"/>
                      <a:pPr>
                        <a:defRPr sz="1000" b="1">
                          <a:solidFill>
                            <a:srgbClr val="FF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BE8-624E-84C2-514BF19A98A0}"/>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DBE8-624E-84C2-514BF19A98A0}"/>
                </c:ext>
              </c:extLst>
            </c:dLbl>
            <c:dLbl>
              <c:idx val="14"/>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A71E15BC-C316-E94F-BB78-5DDFC00D98C7}" type="CELLRANGE">
                      <a:rPr lang="en-US"/>
                      <a:pPr>
                        <a:defRPr sz="1000" b="1">
                          <a:solidFill>
                            <a:srgbClr val="0070C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BE8-624E-84C2-514BF19A98A0}"/>
                </c:ext>
              </c:extLst>
            </c:dLbl>
            <c:dLbl>
              <c:idx val="15"/>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735694E9-FFC7-D944-9202-5CDC0AABA4BC}" type="CELLRANGE">
                      <a:rPr lang="en-US"/>
                      <a:pPr>
                        <a:defRPr sz="1000" b="1">
                          <a:solidFill>
                            <a:srgbClr val="FF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BE8-624E-84C2-514BF19A98A0}"/>
                </c:ext>
              </c:extLst>
            </c:dLbl>
            <c:dLbl>
              <c:idx val="16"/>
              <c:tx>
                <c:rich>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DBE8-624E-84C2-514BF19A98A0}"/>
                </c:ext>
              </c:extLst>
            </c:dLbl>
            <c:dLbl>
              <c:idx val="17"/>
              <c:tx>
                <c:rich>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DBE8-624E-84C2-514BF19A98A0}"/>
                </c:ext>
              </c:extLst>
            </c:dLbl>
            <c:dLbl>
              <c:idx val="18"/>
              <c:tx>
                <c:rich>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DBE8-624E-84C2-514BF19A98A0}"/>
                </c:ext>
              </c:extLst>
            </c:dLbl>
            <c:dLbl>
              <c:idx val="19"/>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6303D3C9-34D3-9945-BF06-B6CF076ECFE2}" type="CELLRANGE">
                      <a:rPr lang="en-US"/>
                      <a:pPr>
                        <a:defRPr sz="1000" b="1">
                          <a:solidFill>
                            <a:srgbClr val="0070C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BE8-624E-84C2-514BF19A98A0}"/>
                </c:ext>
              </c:extLst>
            </c:dLbl>
            <c:dLbl>
              <c:idx val="20"/>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BD6D41D0-27B7-0040-A92E-75C37C168509}" type="CELLRANGE">
                      <a:rPr lang="en-US"/>
                      <a:pPr>
                        <a:defRPr sz="1000" b="1">
                          <a:solidFill>
                            <a:srgbClr val="0070C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DBE8-624E-84C2-514BF19A98A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MODS!$AS$4:$AS$24</c:f>
              <c:numCache>
                <c:formatCode>0.00</c:formatCode>
                <c:ptCount val="21"/>
                <c:pt idx="0">
                  <c:v>#N/A</c:v>
                </c:pt>
                <c:pt idx="1">
                  <c:v>#N/A</c:v>
                </c:pt>
                <c:pt idx="2">
                  <c:v>-0.42574387530582408</c:v>
                </c:pt>
                <c:pt idx="3">
                  <c:v>#N/A</c:v>
                </c:pt>
                <c:pt idx="4">
                  <c:v>#N/A</c:v>
                </c:pt>
                <c:pt idx="5">
                  <c:v>#N/A</c:v>
                </c:pt>
                <c:pt idx="6">
                  <c:v>#N/A</c:v>
                </c:pt>
                <c:pt idx="7">
                  <c:v>4.4150300002679436E-2</c:v>
                </c:pt>
                <c:pt idx="8">
                  <c:v>-0.96132932342294874</c:v>
                </c:pt>
                <c:pt idx="9">
                  <c:v>-3.8069600993936636E-2</c:v>
                </c:pt>
                <c:pt idx="10">
                  <c:v>-0.52489857781909988</c:v>
                </c:pt>
                <c:pt idx="11">
                  <c:v>#N/A</c:v>
                </c:pt>
                <c:pt idx="12">
                  <c:v>-0.43487601093598932</c:v>
                </c:pt>
                <c:pt idx="13">
                  <c:v>#N/A</c:v>
                </c:pt>
                <c:pt idx="14">
                  <c:v>-0.48329322044336948</c:v>
                </c:pt>
                <c:pt idx="15">
                  <c:v>-0.25993958731101957</c:v>
                </c:pt>
                <c:pt idx="16">
                  <c:v>#N/A</c:v>
                </c:pt>
                <c:pt idx="17">
                  <c:v>#N/A</c:v>
                </c:pt>
                <c:pt idx="18">
                  <c:v>#N/A</c:v>
                </c:pt>
                <c:pt idx="19">
                  <c:v>-0.29860756167353492</c:v>
                </c:pt>
                <c:pt idx="20">
                  <c:v>6.6815401985421269E-2</c:v>
                </c:pt>
              </c:numCache>
            </c:numRef>
          </c:xVal>
          <c:yVal>
            <c:numRef>
              <c:f>MODS!$AT$4:$AT$24</c:f>
              <c:numCache>
                <c:formatCode>0.00</c:formatCode>
                <c:ptCount val="21"/>
                <c:pt idx="0">
                  <c:v>#N/A</c:v>
                </c:pt>
                <c:pt idx="1">
                  <c:v>#N/A</c:v>
                </c:pt>
                <c:pt idx="2">
                  <c:v>0.64389061776399537</c:v>
                </c:pt>
                <c:pt idx="3">
                  <c:v>#N/A</c:v>
                </c:pt>
                <c:pt idx="4">
                  <c:v>#N/A</c:v>
                </c:pt>
                <c:pt idx="5">
                  <c:v>#N/A</c:v>
                </c:pt>
                <c:pt idx="6">
                  <c:v>#N/A</c:v>
                </c:pt>
                <c:pt idx="7">
                  <c:v>-0.43821912234226612</c:v>
                </c:pt>
                <c:pt idx="8">
                  <c:v>0.21628891112970083</c:v>
                </c:pt>
                <c:pt idx="9">
                  <c:v>0.22470028950770102</c:v>
                </c:pt>
                <c:pt idx="10">
                  <c:v>-9.4957767446724545E-2</c:v>
                </c:pt>
                <c:pt idx="11">
                  <c:v>#N/A</c:v>
                </c:pt>
                <c:pt idx="12">
                  <c:v>0.22906795558104531</c:v>
                </c:pt>
                <c:pt idx="13">
                  <c:v>#N/A</c:v>
                </c:pt>
                <c:pt idx="14">
                  <c:v>0.63738345379861205</c:v>
                </c:pt>
                <c:pt idx="15">
                  <c:v>0.69323055554178059</c:v>
                </c:pt>
                <c:pt idx="16">
                  <c:v>#N/A</c:v>
                </c:pt>
                <c:pt idx="17">
                  <c:v>#N/A</c:v>
                </c:pt>
                <c:pt idx="18">
                  <c:v>#N/A</c:v>
                </c:pt>
                <c:pt idx="19">
                  <c:v>0.91086813852641713</c:v>
                </c:pt>
                <c:pt idx="20">
                  <c:v>0.8525064117636465</c:v>
                </c:pt>
              </c:numCache>
            </c:numRef>
          </c:yVal>
          <c:smooth val="0"/>
          <c:extLst>
            <c:ext xmlns:c15="http://schemas.microsoft.com/office/drawing/2012/chart" uri="{02D57815-91ED-43cb-92C2-25804820EDAC}">
              <c15:datalabelsRange>
                <c15:f>MODS!$W$4:$W$24</c15:f>
                <c15:dlblRangeCache>
                  <c:ptCount val="21"/>
                  <c:pt idx="0">
                    <c:v>Moon</c:v>
                  </c:pt>
                  <c:pt idx="1">
                    <c:v>XMD Mrk59</c:v>
                  </c:pt>
                  <c:pt idx="2">
                    <c:v>SBS1135</c:v>
                  </c:pt>
                  <c:pt idx="3">
                    <c:v>SBS1437</c:v>
                  </c:pt>
                  <c:pt idx="5">
                    <c:v>SDSS1411</c:v>
                  </c:pt>
                  <c:pt idx="6">
                    <c:v>gd153</c:v>
                  </c:pt>
                  <c:pt idx="7">
                    <c:v>SCAT-2024pjl</c:v>
                  </c:pt>
                  <c:pt idx="8">
                    <c:v>SCAT-2024inv</c:v>
                  </c:pt>
                  <c:pt idx="9">
                    <c:v>g191b2b</c:v>
                  </c:pt>
                  <c:pt idx="10">
                    <c:v>U4115-dw2</c:v>
                  </c:pt>
                  <c:pt idx="11">
                    <c:v>U4115-dw1</c:v>
                  </c:pt>
                  <c:pt idx="12">
                    <c:v>U4426-dw1</c:v>
                  </c:pt>
                  <c:pt idx="13">
                    <c:v>N3738-dw7</c:v>
                  </c:pt>
                  <c:pt idx="14">
                    <c:v>N3738-dw10</c:v>
                  </c:pt>
                  <c:pt idx="15">
                    <c:v>N4236-dw13</c:v>
                  </c:pt>
                  <c:pt idx="16">
                    <c:v>I4182-dw13</c:v>
                  </c:pt>
                  <c:pt idx="17">
                    <c:v>N4861-dw5</c:v>
                  </c:pt>
                  <c:pt idx="18">
                    <c:v>N5204-dw3</c:v>
                  </c:pt>
                  <c:pt idx="19">
                    <c:v>N5585-dw11</c:v>
                  </c:pt>
                  <c:pt idx="20">
                    <c:v>N6503-dw6</c:v>
                  </c:pt>
                </c15:dlblRangeCache>
              </c15:datalabelsRange>
            </c:ext>
            <c:ext xmlns:c16="http://schemas.microsoft.com/office/drawing/2014/chart" uri="{C3380CC4-5D6E-409C-BE32-E72D297353CC}">
              <c16:uniqueId val="{00000000-DBE8-624E-84C2-514BF19A98A0}"/>
            </c:ext>
          </c:extLst>
        </c:ser>
        <c:ser>
          <c:idx val="2"/>
          <c:order val="1"/>
          <c:tx>
            <c:v>zenith</c:v>
          </c:tx>
          <c:spPr>
            <a:ln w="25400" cap="rnd">
              <a:noFill/>
              <a:round/>
            </a:ln>
            <a:effectLst/>
          </c:spPr>
          <c:marker>
            <c:symbol val="plus"/>
            <c:size val="7"/>
            <c:spPr>
              <a:noFill/>
              <a:ln w="15875">
                <a:solidFill>
                  <a:srgbClr val="FF0000"/>
                </a:solidFill>
              </a:ln>
              <a:effectLst/>
            </c:spPr>
          </c:marker>
          <c:xVal>
            <c:numRef>
              <c:f>Calcs!$S$53</c:f>
              <c:numCache>
                <c:formatCode>0.00</c:formatCode>
                <c:ptCount val="1"/>
                <c:pt idx="0">
                  <c:v>0</c:v>
                </c:pt>
              </c:numCache>
            </c:numRef>
          </c:xVal>
          <c:yVal>
            <c:numRef>
              <c:f>Calcs!$T$53</c:f>
              <c:numCache>
                <c:formatCode>General</c:formatCode>
                <c:ptCount val="1"/>
                <c:pt idx="0">
                  <c:v>0</c:v>
                </c:pt>
              </c:numCache>
            </c:numRef>
          </c:yVal>
          <c:smooth val="0"/>
          <c:extLst>
            <c:ext xmlns:c16="http://schemas.microsoft.com/office/drawing/2014/chart" uri="{C3380CC4-5D6E-409C-BE32-E72D297353CC}">
              <c16:uniqueId val="{00000017-DBE8-624E-84C2-514BF19A98A0}"/>
            </c:ext>
          </c:extLst>
        </c:ser>
        <c:ser>
          <c:idx val="1"/>
          <c:order val="2"/>
          <c:tx>
            <c:v>Az 0</c:v>
          </c:tx>
          <c:spPr>
            <a:ln w="25400" cap="rnd">
              <a:noFill/>
              <a:round/>
            </a:ln>
            <a:effectLst/>
          </c:spPr>
          <c:marker>
            <c:symbol val="x"/>
            <c:size val="5"/>
            <c:spPr>
              <a:noFill/>
              <a:ln w="9525">
                <a:solidFill>
                  <a:srgbClr val="FF0000"/>
                </a:solidFill>
              </a:ln>
              <a:effectLst/>
            </c:spPr>
          </c:marker>
          <c:xVal>
            <c:numRef>
              <c:f>Calcs!$S$55:$S$59</c:f>
              <c:numCache>
                <c:formatCode>0.00</c:formatCode>
                <c:ptCount val="5"/>
                <c:pt idx="0">
                  <c:v>0</c:v>
                </c:pt>
                <c:pt idx="1">
                  <c:v>0</c:v>
                </c:pt>
                <c:pt idx="2">
                  <c:v>0</c:v>
                </c:pt>
                <c:pt idx="3">
                  <c:v>0</c:v>
                </c:pt>
                <c:pt idx="4">
                  <c:v>0</c:v>
                </c:pt>
              </c:numCache>
            </c:numRef>
          </c:xVal>
          <c:yVal>
            <c:numRef>
              <c:f>Calcs!$S$63:$S$67</c:f>
              <c:numCache>
                <c:formatCode>0.00</c:formatCode>
                <c:ptCount val="5"/>
                <c:pt idx="0">
                  <c:v>1</c:v>
                </c:pt>
                <c:pt idx="1">
                  <c:v>0.77777777777777779</c:v>
                </c:pt>
                <c:pt idx="2">
                  <c:v>0.55555555555555558</c:v>
                </c:pt>
                <c:pt idx="3">
                  <c:v>0.33333333333333331</c:v>
                </c:pt>
                <c:pt idx="4">
                  <c:v>0.1111111111111111</c:v>
                </c:pt>
              </c:numCache>
            </c:numRef>
          </c:yVal>
          <c:smooth val="0"/>
          <c:extLst>
            <c:ext xmlns:c16="http://schemas.microsoft.com/office/drawing/2014/chart" uri="{C3380CC4-5D6E-409C-BE32-E72D297353CC}">
              <c16:uniqueId val="{00000016-DBE8-624E-84C2-514BF19A98A0}"/>
            </c:ext>
          </c:extLst>
        </c:ser>
        <c:ser>
          <c:idx val="3"/>
          <c:order val="3"/>
          <c:tx>
            <c:v>AZ 30</c:v>
          </c:tx>
          <c:spPr>
            <a:ln w="25400" cap="rnd">
              <a:noFill/>
              <a:round/>
            </a:ln>
            <a:effectLst/>
          </c:spPr>
          <c:marker>
            <c:symbol val="x"/>
            <c:size val="5"/>
            <c:spPr>
              <a:noFill/>
              <a:ln w="9525">
                <a:solidFill>
                  <a:srgbClr val="FF0000"/>
                </a:solidFill>
              </a:ln>
              <a:effectLst/>
            </c:spPr>
          </c:marker>
          <c:xVal>
            <c:numRef>
              <c:f>Calcs!$T$55:$T$59</c:f>
              <c:numCache>
                <c:formatCode>0.00</c:formatCode>
                <c:ptCount val="5"/>
                <c:pt idx="0">
                  <c:v>0.49999999999999994</c:v>
                </c:pt>
                <c:pt idx="1">
                  <c:v>0.38888888888888884</c:v>
                </c:pt>
                <c:pt idx="2">
                  <c:v>0.27777777777777773</c:v>
                </c:pt>
                <c:pt idx="3">
                  <c:v>0.16666666666666663</c:v>
                </c:pt>
                <c:pt idx="4">
                  <c:v>5.5555555555555546E-2</c:v>
                </c:pt>
              </c:numCache>
            </c:numRef>
          </c:xVal>
          <c:yVal>
            <c:numRef>
              <c:f>Calcs!$T$63:$T$67</c:f>
              <c:numCache>
                <c:formatCode>0.00</c:formatCode>
                <c:ptCount val="5"/>
                <c:pt idx="0">
                  <c:v>0.86602540378443871</c:v>
                </c:pt>
                <c:pt idx="1">
                  <c:v>0.6735753140545635</c:v>
                </c:pt>
                <c:pt idx="2">
                  <c:v>0.48112522432468818</c:v>
                </c:pt>
                <c:pt idx="3">
                  <c:v>0.28867513459481287</c:v>
                </c:pt>
                <c:pt idx="4">
                  <c:v>9.6225044864937631E-2</c:v>
                </c:pt>
              </c:numCache>
            </c:numRef>
          </c:yVal>
          <c:smooth val="0"/>
          <c:extLst>
            <c:ext xmlns:c16="http://schemas.microsoft.com/office/drawing/2014/chart" uri="{C3380CC4-5D6E-409C-BE32-E72D297353CC}">
              <c16:uniqueId val="{00000018-DBE8-624E-84C2-514BF19A98A0}"/>
            </c:ext>
          </c:extLst>
        </c:ser>
        <c:ser>
          <c:idx val="4"/>
          <c:order val="4"/>
          <c:tx>
            <c:v>AZ 60</c:v>
          </c:tx>
          <c:spPr>
            <a:ln w="25400" cap="rnd">
              <a:noFill/>
              <a:round/>
            </a:ln>
            <a:effectLst/>
          </c:spPr>
          <c:marker>
            <c:symbol val="x"/>
            <c:size val="5"/>
            <c:spPr>
              <a:noFill/>
              <a:ln w="9525">
                <a:solidFill>
                  <a:srgbClr val="FF0000"/>
                </a:solidFill>
              </a:ln>
              <a:effectLst/>
            </c:spPr>
          </c:marker>
          <c:xVal>
            <c:numRef>
              <c:f>Calcs!$U$55:$U$59</c:f>
              <c:numCache>
                <c:formatCode>0.00</c:formatCode>
                <c:ptCount val="5"/>
                <c:pt idx="0">
                  <c:v>0.8660254037844386</c:v>
                </c:pt>
                <c:pt idx="1">
                  <c:v>0.67357531405456339</c:v>
                </c:pt>
                <c:pt idx="2">
                  <c:v>0.48112522432468813</c:v>
                </c:pt>
                <c:pt idx="3">
                  <c:v>0.28867513459481287</c:v>
                </c:pt>
                <c:pt idx="4">
                  <c:v>9.6225044864937617E-2</c:v>
                </c:pt>
              </c:numCache>
            </c:numRef>
          </c:xVal>
          <c:yVal>
            <c:numRef>
              <c:f>Calcs!$U$63:$U$67</c:f>
              <c:numCache>
                <c:formatCode>0.00</c:formatCode>
                <c:ptCount val="5"/>
                <c:pt idx="0">
                  <c:v>0.50000000000000011</c:v>
                </c:pt>
                <c:pt idx="1">
                  <c:v>0.38888888888888901</c:v>
                </c:pt>
                <c:pt idx="2">
                  <c:v>0.27777777777777785</c:v>
                </c:pt>
                <c:pt idx="3">
                  <c:v>0.16666666666666669</c:v>
                </c:pt>
                <c:pt idx="4">
                  <c:v>5.5555555555555566E-2</c:v>
                </c:pt>
              </c:numCache>
            </c:numRef>
          </c:yVal>
          <c:smooth val="0"/>
          <c:extLst>
            <c:ext xmlns:c16="http://schemas.microsoft.com/office/drawing/2014/chart" uri="{C3380CC4-5D6E-409C-BE32-E72D297353CC}">
              <c16:uniqueId val="{00000019-DBE8-624E-84C2-514BF19A98A0}"/>
            </c:ext>
          </c:extLst>
        </c:ser>
        <c:ser>
          <c:idx val="5"/>
          <c:order val="5"/>
          <c:tx>
            <c:v>AZ 90</c:v>
          </c:tx>
          <c:spPr>
            <a:ln w="25400" cap="rnd">
              <a:noFill/>
              <a:round/>
            </a:ln>
            <a:effectLst/>
          </c:spPr>
          <c:marker>
            <c:symbol val="x"/>
            <c:size val="5"/>
            <c:spPr>
              <a:noFill/>
              <a:ln w="9525">
                <a:solidFill>
                  <a:srgbClr val="FF0000"/>
                </a:solidFill>
              </a:ln>
              <a:effectLst/>
            </c:spPr>
          </c:marker>
          <c:xVal>
            <c:numRef>
              <c:f>Calcs!$V$55:$V$59</c:f>
              <c:numCache>
                <c:formatCode>0.00</c:formatCode>
                <c:ptCount val="5"/>
                <c:pt idx="0">
                  <c:v>1</c:v>
                </c:pt>
                <c:pt idx="1">
                  <c:v>0.77777777777777779</c:v>
                </c:pt>
                <c:pt idx="2">
                  <c:v>0.55555555555555558</c:v>
                </c:pt>
                <c:pt idx="3">
                  <c:v>0.33333333333333331</c:v>
                </c:pt>
                <c:pt idx="4">
                  <c:v>0.1111111111111111</c:v>
                </c:pt>
              </c:numCache>
            </c:numRef>
          </c:xVal>
          <c:yVal>
            <c:numRef>
              <c:f>Calcs!$V$63:$V$67</c:f>
              <c:numCache>
                <c:formatCode>0.00</c:formatCode>
                <c:ptCount val="5"/>
                <c:pt idx="0">
                  <c:v>6.1257422745431001E-17</c:v>
                </c:pt>
                <c:pt idx="1">
                  <c:v>4.7644662135335224E-17</c:v>
                </c:pt>
                <c:pt idx="2">
                  <c:v>3.4031901525239447E-17</c:v>
                </c:pt>
                <c:pt idx="3">
                  <c:v>2.0419140915143665E-17</c:v>
                </c:pt>
                <c:pt idx="4">
                  <c:v>6.8063803050478883E-18</c:v>
                </c:pt>
              </c:numCache>
            </c:numRef>
          </c:yVal>
          <c:smooth val="0"/>
          <c:extLst>
            <c:ext xmlns:c16="http://schemas.microsoft.com/office/drawing/2014/chart" uri="{C3380CC4-5D6E-409C-BE32-E72D297353CC}">
              <c16:uniqueId val="{0000001A-DBE8-624E-84C2-514BF19A98A0}"/>
            </c:ext>
          </c:extLst>
        </c:ser>
        <c:ser>
          <c:idx val="6"/>
          <c:order val="6"/>
          <c:tx>
            <c:v>AZ 120</c:v>
          </c:tx>
          <c:spPr>
            <a:ln w="25400" cap="rnd">
              <a:noFill/>
              <a:round/>
            </a:ln>
            <a:effectLst/>
          </c:spPr>
          <c:marker>
            <c:symbol val="x"/>
            <c:size val="5"/>
            <c:spPr>
              <a:noFill/>
              <a:ln w="9525">
                <a:solidFill>
                  <a:srgbClr val="FF0000"/>
                </a:solidFill>
              </a:ln>
              <a:effectLst/>
            </c:spPr>
          </c:marker>
          <c:xVal>
            <c:numRef>
              <c:f>Calcs!$W$55:$W$59</c:f>
              <c:numCache>
                <c:formatCode>0.00</c:formatCode>
                <c:ptCount val="5"/>
                <c:pt idx="0">
                  <c:v>0.86602540378443871</c:v>
                </c:pt>
                <c:pt idx="1">
                  <c:v>0.6735753140545635</c:v>
                </c:pt>
                <c:pt idx="2">
                  <c:v>0.48112522432468818</c:v>
                </c:pt>
                <c:pt idx="3">
                  <c:v>0.28867513459481287</c:v>
                </c:pt>
                <c:pt idx="4">
                  <c:v>9.6225044864937631E-2</c:v>
                </c:pt>
              </c:numCache>
            </c:numRef>
          </c:xVal>
          <c:yVal>
            <c:numRef>
              <c:f>Calcs!$W$63:$W$67</c:f>
              <c:numCache>
                <c:formatCode>0.00</c:formatCode>
                <c:ptCount val="5"/>
                <c:pt idx="0">
                  <c:v>-0.49999999999999978</c:v>
                </c:pt>
                <c:pt idx="1">
                  <c:v>-0.38888888888888873</c:v>
                </c:pt>
                <c:pt idx="2">
                  <c:v>-0.27777777777777768</c:v>
                </c:pt>
                <c:pt idx="3">
                  <c:v>-0.16666666666666657</c:v>
                </c:pt>
                <c:pt idx="4">
                  <c:v>-5.5555555555555525E-2</c:v>
                </c:pt>
              </c:numCache>
            </c:numRef>
          </c:yVal>
          <c:smooth val="0"/>
          <c:extLst>
            <c:ext xmlns:c16="http://schemas.microsoft.com/office/drawing/2014/chart" uri="{C3380CC4-5D6E-409C-BE32-E72D297353CC}">
              <c16:uniqueId val="{0000001B-DBE8-624E-84C2-514BF19A98A0}"/>
            </c:ext>
          </c:extLst>
        </c:ser>
        <c:ser>
          <c:idx val="7"/>
          <c:order val="7"/>
          <c:tx>
            <c:v>AZ 150</c:v>
          </c:tx>
          <c:spPr>
            <a:ln w="25400" cap="rnd">
              <a:noFill/>
              <a:round/>
            </a:ln>
            <a:effectLst/>
          </c:spPr>
          <c:marker>
            <c:symbol val="x"/>
            <c:size val="5"/>
            <c:spPr>
              <a:noFill/>
              <a:ln w="9525">
                <a:solidFill>
                  <a:srgbClr val="FF0000"/>
                </a:solidFill>
              </a:ln>
              <a:effectLst/>
            </c:spPr>
          </c:marker>
          <c:xVal>
            <c:numRef>
              <c:f>Calcs!$X$55:$X$59</c:f>
              <c:numCache>
                <c:formatCode>0.00</c:formatCode>
                <c:ptCount val="5"/>
                <c:pt idx="0">
                  <c:v>0.49999999999999994</c:v>
                </c:pt>
                <c:pt idx="1">
                  <c:v>0.38888888888888884</c:v>
                </c:pt>
                <c:pt idx="2">
                  <c:v>0.27777777777777773</c:v>
                </c:pt>
                <c:pt idx="3">
                  <c:v>0.16666666666666663</c:v>
                </c:pt>
                <c:pt idx="4">
                  <c:v>5.5555555555555546E-2</c:v>
                </c:pt>
              </c:numCache>
            </c:numRef>
          </c:xVal>
          <c:yVal>
            <c:numRef>
              <c:f>Calcs!$X$63:$X$67</c:f>
              <c:numCache>
                <c:formatCode>0.00</c:formatCode>
                <c:ptCount val="5"/>
                <c:pt idx="0">
                  <c:v>-0.86602540378443871</c:v>
                </c:pt>
                <c:pt idx="1">
                  <c:v>-0.6735753140545635</c:v>
                </c:pt>
                <c:pt idx="2">
                  <c:v>-0.48112522432468818</c:v>
                </c:pt>
                <c:pt idx="3">
                  <c:v>-0.28867513459481287</c:v>
                </c:pt>
                <c:pt idx="4">
                  <c:v>-9.6225044864937631E-2</c:v>
                </c:pt>
              </c:numCache>
            </c:numRef>
          </c:yVal>
          <c:smooth val="0"/>
          <c:extLst>
            <c:ext xmlns:c16="http://schemas.microsoft.com/office/drawing/2014/chart" uri="{C3380CC4-5D6E-409C-BE32-E72D297353CC}">
              <c16:uniqueId val="{0000001C-DBE8-624E-84C2-514BF19A98A0}"/>
            </c:ext>
          </c:extLst>
        </c:ser>
        <c:ser>
          <c:idx val="8"/>
          <c:order val="8"/>
          <c:tx>
            <c:v>AZ 180</c:v>
          </c:tx>
          <c:spPr>
            <a:ln w="25400" cap="rnd">
              <a:noFill/>
              <a:round/>
            </a:ln>
            <a:effectLst/>
          </c:spPr>
          <c:marker>
            <c:symbol val="x"/>
            <c:size val="5"/>
            <c:spPr>
              <a:noFill/>
              <a:ln w="9525">
                <a:solidFill>
                  <a:srgbClr val="FF0000"/>
                </a:solidFill>
              </a:ln>
              <a:effectLst/>
            </c:spPr>
          </c:marker>
          <c:xVal>
            <c:numRef>
              <c:f>Calcs!$Y$55:$Y$59</c:f>
              <c:numCache>
                <c:formatCode>0.00</c:formatCode>
                <c:ptCount val="5"/>
                <c:pt idx="0">
                  <c:v>1.22514845490862E-16</c:v>
                </c:pt>
                <c:pt idx="1">
                  <c:v>9.5289324270670448E-17</c:v>
                </c:pt>
                <c:pt idx="2">
                  <c:v>6.8063803050478895E-17</c:v>
                </c:pt>
                <c:pt idx="3">
                  <c:v>4.083828183028733E-17</c:v>
                </c:pt>
                <c:pt idx="4">
                  <c:v>1.3612760610095777E-17</c:v>
                </c:pt>
              </c:numCache>
            </c:numRef>
          </c:xVal>
          <c:yVal>
            <c:numRef>
              <c:f>Calcs!$Y$63:$Y$67</c:f>
              <c:numCache>
                <c:formatCode>0.00</c:formatCode>
                <c:ptCount val="5"/>
                <c:pt idx="0">
                  <c:v>-1</c:v>
                </c:pt>
                <c:pt idx="1">
                  <c:v>-0.77777777777777779</c:v>
                </c:pt>
                <c:pt idx="2">
                  <c:v>-0.55555555555555558</c:v>
                </c:pt>
                <c:pt idx="3">
                  <c:v>-0.33333333333333331</c:v>
                </c:pt>
                <c:pt idx="4">
                  <c:v>-0.1111111111111111</c:v>
                </c:pt>
              </c:numCache>
            </c:numRef>
          </c:yVal>
          <c:smooth val="0"/>
          <c:extLst>
            <c:ext xmlns:c16="http://schemas.microsoft.com/office/drawing/2014/chart" uri="{C3380CC4-5D6E-409C-BE32-E72D297353CC}">
              <c16:uniqueId val="{0000001D-DBE8-624E-84C2-514BF19A98A0}"/>
            </c:ext>
          </c:extLst>
        </c:ser>
        <c:ser>
          <c:idx val="9"/>
          <c:order val="9"/>
          <c:tx>
            <c:v>AZ 210</c:v>
          </c:tx>
          <c:spPr>
            <a:ln w="25400" cap="rnd">
              <a:noFill/>
              <a:round/>
            </a:ln>
            <a:effectLst/>
          </c:spPr>
          <c:marker>
            <c:symbol val="x"/>
            <c:size val="5"/>
            <c:spPr>
              <a:noFill/>
              <a:ln w="9525">
                <a:solidFill>
                  <a:srgbClr val="FF0000"/>
                </a:solidFill>
              </a:ln>
              <a:effectLst/>
            </c:spPr>
          </c:marker>
          <c:xVal>
            <c:numRef>
              <c:f>Calcs!$Z$55:$Z$59</c:f>
              <c:numCache>
                <c:formatCode>0.00</c:formatCode>
                <c:ptCount val="5"/>
                <c:pt idx="0">
                  <c:v>-0.50000000000000011</c:v>
                </c:pt>
                <c:pt idx="1">
                  <c:v>-0.38888888888888901</c:v>
                </c:pt>
                <c:pt idx="2">
                  <c:v>-0.27777777777777785</c:v>
                </c:pt>
                <c:pt idx="3">
                  <c:v>-0.16666666666666669</c:v>
                </c:pt>
                <c:pt idx="4">
                  <c:v>-5.5555555555555566E-2</c:v>
                </c:pt>
              </c:numCache>
            </c:numRef>
          </c:xVal>
          <c:yVal>
            <c:numRef>
              <c:f>Calcs!$Z$63:$Z$67</c:f>
              <c:numCache>
                <c:formatCode>0.00</c:formatCode>
                <c:ptCount val="5"/>
                <c:pt idx="0">
                  <c:v>-0.8660254037844386</c:v>
                </c:pt>
                <c:pt idx="1">
                  <c:v>-0.67357531405456339</c:v>
                </c:pt>
                <c:pt idx="2">
                  <c:v>-0.48112522432468813</c:v>
                </c:pt>
                <c:pt idx="3">
                  <c:v>-0.28867513459481287</c:v>
                </c:pt>
                <c:pt idx="4">
                  <c:v>-9.6225044864937617E-2</c:v>
                </c:pt>
              </c:numCache>
            </c:numRef>
          </c:yVal>
          <c:smooth val="0"/>
          <c:extLst>
            <c:ext xmlns:c16="http://schemas.microsoft.com/office/drawing/2014/chart" uri="{C3380CC4-5D6E-409C-BE32-E72D297353CC}">
              <c16:uniqueId val="{0000001E-DBE8-624E-84C2-514BF19A98A0}"/>
            </c:ext>
          </c:extLst>
        </c:ser>
        <c:ser>
          <c:idx val="10"/>
          <c:order val="10"/>
          <c:tx>
            <c:v>AZ 240</c:v>
          </c:tx>
          <c:spPr>
            <a:ln w="25400" cap="rnd">
              <a:noFill/>
              <a:round/>
            </a:ln>
            <a:effectLst/>
          </c:spPr>
          <c:marker>
            <c:symbol val="x"/>
            <c:size val="5"/>
            <c:spPr>
              <a:noFill/>
              <a:ln w="9525">
                <a:solidFill>
                  <a:srgbClr val="FF0000"/>
                </a:solidFill>
              </a:ln>
              <a:effectLst/>
            </c:spPr>
          </c:marker>
          <c:xVal>
            <c:numRef>
              <c:f>Calcs!$AA$55:$AA$59</c:f>
              <c:numCache>
                <c:formatCode>0.00</c:formatCode>
                <c:ptCount val="5"/>
                <c:pt idx="0">
                  <c:v>-0.86602540378443837</c:v>
                </c:pt>
                <c:pt idx="1">
                  <c:v>-0.67357531405456317</c:v>
                </c:pt>
                <c:pt idx="2">
                  <c:v>-0.48112522432468802</c:v>
                </c:pt>
                <c:pt idx="3">
                  <c:v>-0.28867513459481275</c:v>
                </c:pt>
                <c:pt idx="4">
                  <c:v>-9.6225044864937589E-2</c:v>
                </c:pt>
              </c:numCache>
            </c:numRef>
          </c:xVal>
          <c:yVal>
            <c:numRef>
              <c:f>Calcs!$AA$63:$AA$67</c:f>
              <c:numCache>
                <c:formatCode>0.00</c:formatCode>
                <c:ptCount val="5"/>
                <c:pt idx="0">
                  <c:v>-0.50000000000000044</c:v>
                </c:pt>
                <c:pt idx="1">
                  <c:v>-0.38888888888888923</c:v>
                </c:pt>
                <c:pt idx="2">
                  <c:v>-0.27777777777777801</c:v>
                </c:pt>
                <c:pt idx="3">
                  <c:v>-0.1666666666666668</c:v>
                </c:pt>
                <c:pt idx="4">
                  <c:v>-5.5555555555555601E-2</c:v>
                </c:pt>
              </c:numCache>
            </c:numRef>
          </c:yVal>
          <c:smooth val="0"/>
          <c:extLst>
            <c:ext xmlns:c16="http://schemas.microsoft.com/office/drawing/2014/chart" uri="{C3380CC4-5D6E-409C-BE32-E72D297353CC}">
              <c16:uniqueId val="{0000001F-DBE8-624E-84C2-514BF19A98A0}"/>
            </c:ext>
          </c:extLst>
        </c:ser>
        <c:ser>
          <c:idx val="11"/>
          <c:order val="11"/>
          <c:tx>
            <c:v>AZ 270</c:v>
          </c:tx>
          <c:spPr>
            <a:ln w="25400" cap="rnd">
              <a:noFill/>
              <a:round/>
            </a:ln>
            <a:effectLst/>
          </c:spPr>
          <c:marker>
            <c:symbol val="x"/>
            <c:size val="5"/>
            <c:spPr>
              <a:noFill/>
              <a:ln w="9525">
                <a:solidFill>
                  <a:srgbClr val="FF0000"/>
                </a:solidFill>
              </a:ln>
              <a:effectLst/>
            </c:spPr>
          </c:marker>
          <c:xVal>
            <c:numRef>
              <c:f>Calcs!$AB$55:$AB$59</c:f>
              <c:numCache>
                <c:formatCode>0.00</c:formatCode>
                <c:ptCount val="5"/>
                <c:pt idx="0">
                  <c:v>-1</c:v>
                </c:pt>
                <c:pt idx="1">
                  <c:v>-0.77777777777777779</c:v>
                </c:pt>
                <c:pt idx="2">
                  <c:v>-0.55555555555555558</c:v>
                </c:pt>
                <c:pt idx="3">
                  <c:v>-0.33333333333333331</c:v>
                </c:pt>
                <c:pt idx="4">
                  <c:v>-0.1111111111111111</c:v>
                </c:pt>
              </c:numCache>
            </c:numRef>
          </c:xVal>
          <c:yVal>
            <c:numRef>
              <c:f>Calcs!$AB$63:$AB$67</c:f>
              <c:numCache>
                <c:formatCode>0.00</c:formatCode>
                <c:ptCount val="5"/>
                <c:pt idx="0">
                  <c:v>-1.83772268236293E-16</c:v>
                </c:pt>
                <c:pt idx="1">
                  <c:v>-1.4293398640600566E-16</c:v>
                </c:pt>
                <c:pt idx="2">
                  <c:v>-1.0209570457571834E-16</c:v>
                </c:pt>
                <c:pt idx="3">
                  <c:v>-6.1257422745431001E-17</c:v>
                </c:pt>
                <c:pt idx="4">
                  <c:v>-2.0419140915143665E-17</c:v>
                </c:pt>
              </c:numCache>
            </c:numRef>
          </c:yVal>
          <c:smooth val="0"/>
          <c:extLst>
            <c:ext xmlns:c16="http://schemas.microsoft.com/office/drawing/2014/chart" uri="{C3380CC4-5D6E-409C-BE32-E72D297353CC}">
              <c16:uniqueId val="{00000020-DBE8-624E-84C2-514BF19A98A0}"/>
            </c:ext>
          </c:extLst>
        </c:ser>
        <c:ser>
          <c:idx val="12"/>
          <c:order val="12"/>
          <c:tx>
            <c:v>AZ 300</c:v>
          </c:tx>
          <c:spPr>
            <a:ln w="25400" cap="rnd">
              <a:noFill/>
              <a:round/>
            </a:ln>
            <a:effectLst/>
          </c:spPr>
          <c:marker>
            <c:symbol val="x"/>
            <c:size val="5"/>
            <c:spPr>
              <a:noFill/>
              <a:ln w="9525">
                <a:solidFill>
                  <a:srgbClr val="FF0000"/>
                </a:solidFill>
              </a:ln>
              <a:effectLst/>
            </c:spPr>
          </c:marker>
          <c:xVal>
            <c:numRef>
              <c:f>Calcs!$AC$55:$AC$59</c:f>
              <c:numCache>
                <c:formatCode>0.00</c:formatCode>
                <c:ptCount val="5"/>
                <c:pt idx="0">
                  <c:v>-0.8660254037844386</c:v>
                </c:pt>
                <c:pt idx="1">
                  <c:v>-0.67357531405456339</c:v>
                </c:pt>
                <c:pt idx="2">
                  <c:v>-0.48112522432468813</c:v>
                </c:pt>
                <c:pt idx="3">
                  <c:v>-0.28867513459481287</c:v>
                </c:pt>
                <c:pt idx="4">
                  <c:v>-9.6225044864937617E-2</c:v>
                </c:pt>
              </c:numCache>
            </c:numRef>
          </c:xVal>
          <c:yVal>
            <c:numRef>
              <c:f>Calcs!$AC$63:$AC$67</c:f>
              <c:numCache>
                <c:formatCode>0.00</c:formatCode>
                <c:ptCount val="5"/>
                <c:pt idx="0">
                  <c:v>0.50000000000000011</c:v>
                </c:pt>
                <c:pt idx="1">
                  <c:v>0.38888888888888901</c:v>
                </c:pt>
                <c:pt idx="2">
                  <c:v>0.27777777777777785</c:v>
                </c:pt>
                <c:pt idx="3">
                  <c:v>0.16666666666666669</c:v>
                </c:pt>
                <c:pt idx="4">
                  <c:v>5.5555555555555566E-2</c:v>
                </c:pt>
              </c:numCache>
            </c:numRef>
          </c:yVal>
          <c:smooth val="0"/>
          <c:extLst>
            <c:ext xmlns:c16="http://schemas.microsoft.com/office/drawing/2014/chart" uri="{C3380CC4-5D6E-409C-BE32-E72D297353CC}">
              <c16:uniqueId val="{00000021-DBE8-624E-84C2-514BF19A98A0}"/>
            </c:ext>
          </c:extLst>
        </c:ser>
        <c:ser>
          <c:idx val="13"/>
          <c:order val="13"/>
          <c:tx>
            <c:v>AZ 330</c:v>
          </c:tx>
          <c:spPr>
            <a:ln w="25400" cap="rnd">
              <a:noFill/>
              <a:round/>
            </a:ln>
            <a:effectLst/>
          </c:spPr>
          <c:marker>
            <c:symbol val="x"/>
            <c:size val="5"/>
            <c:spPr>
              <a:noFill/>
              <a:ln w="9525">
                <a:solidFill>
                  <a:srgbClr val="FF0000"/>
                </a:solidFill>
              </a:ln>
              <a:effectLst/>
            </c:spPr>
          </c:marker>
          <c:xVal>
            <c:numRef>
              <c:f>Calcs!$AD$55:$AD$59</c:f>
              <c:numCache>
                <c:formatCode>0.00</c:formatCode>
                <c:ptCount val="5"/>
                <c:pt idx="0">
                  <c:v>-0.50000000000000044</c:v>
                </c:pt>
                <c:pt idx="1">
                  <c:v>-0.38888888888888923</c:v>
                </c:pt>
                <c:pt idx="2">
                  <c:v>-0.27777777777777801</c:v>
                </c:pt>
                <c:pt idx="3">
                  <c:v>-0.1666666666666668</c:v>
                </c:pt>
                <c:pt idx="4">
                  <c:v>-5.5555555555555601E-2</c:v>
                </c:pt>
              </c:numCache>
            </c:numRef>
          </c:xVal>
          <c:yVal>
            <c:numRef>
              <c:f>Calcs!$AD$63:$AD$67</c:f>
              <c:numCache>
                <c:formatCode>0.00</c:formatCode>
                <c:ptCount val="5"/>
                <c:pt idx="0">
                  <c:v>0.86602540378443837</c:v>
                </c:pt>
                <c:pt idx="1">
                  <c:v>0.67357531405456317</c:v>
                </c:pt>
                <c:pt idx="2">
                  <c:v>0.48112522432468802</c:v>
                </c:pt>
                <c:pt idx="3">
                  <c:v>0.28867513459481275</c:v>
                </c:pt>
                <c:pt idx="4">
                  <c:v>9.6225044864937589E-2</c:v>
                </c:pt>
              </c:numCache>
            </c:numRef>
          </c:yVal>
          <c:smooth val="0"/>
          <c:extLst>
            <c:ext xmlns:c16="http://schemas.microsoft.com/office/drawing/2014/chart" uri="{C3380CC4-5D6E-409C-BE32-E72D297353CC}">
              <c16:uniqueId val="{00000022-DBE8-624E-84C2-514BF19A98A0}"/>
            </c:ext>
          </c:extLst>
        </c:ser>
        <c:ser>
          <c:idx val="14"/>
          <c:order val="14"/>
          <c:tx>
            <c:v>Cardinal Directions</c:v>
          </c:tx>
          <c:spPr>
            <a:ln w="25400" cap="rnd">
              <a:noFill/>
              <a:round/>
            </a:ln>
            <a:effectLst/>
          </c:spPr>
          <c:marker>
            <c:symbol val="none"/>
          </c:marker>
          <c:dLbls>
            <c:dLbl>
              <c:idx val="0"/>
              <c:tx>
                <c:rich>
                  <a:bodyPr/>
                  <a:lstStyle/>
                  <a:p>
                    <a:fld id="{493669B6-41D6-9E47-BD59-D024FA02EAC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DBE8-624E-84C2-514BF19A98A0}"/>
                </c:ext>
              </c:extLst>
            </c:dLbl>
            <c:dLbl>
              <c:idx val="1"/>
              <c:tx>
                <c:rich>
                  <a:bodyPr/>
                  <a:lstStyle/>
                  <a:p>
                    <a:fld id="{4D003D82-760A-9541-A76D-C118620976C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DBE8-624E-84C2-514BF19A98A0}"/>
                </c:ext>
              </c:extLst>
            </c:dLbl>
            <c:dLbl>
              <c:idx val="2"/>
              <c:tx>
                <c:rich>
                  <a:bodyPr/>
                  <a:lstStyle/>
                  <a:p>
                    <a:fld id="{717A1562-F4C9-FC4A-A69C-2CD99F60A80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DBE8-624E-84C2-514BF19A98A0}"/>
                </c:ext>
              </c:extLst>
            </c:dLbl>
            <c:dLbl>
              <c:idx val="3"/>
              <c:tx>
                <c:rich>
                  <a:bodyPr/>
                  <a:lstStyle/>
                  <a:p>
                    <a:fld id="{88B5AFCE-7E16-8F45-8FC1-ABD20EE70F1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DBE8-624E-84C2-514BF19A98A0}"/>
                </c:ext>
              </c:extLst>
            </c:dLbl>
            <c:dLbl>
              <c:idx val="4"/>
              <c:tx>
                <c:rich>
                  <a:bodyPr/>
                  <a:lstStyle/>
                  <a:p>
                    <a:fld id="{9C7F9624-DDE6-A84B-8837-C7C66AD8B86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DBE8-624E-84C2-514BF19A98A0}"/>
                </c:ext>
              </c:extLst>
            </c:dLbl>
            <c:dLbl>
              <c:idx val="5"/>
              <c:tx>
                <c:rich>
                  <a:bodyPr/>
                  <a:lstStyle/>
                  <a:p>
                    <a:fld id="{3AD18BF8-2E8D-7346-944C-E4B73D01254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DBE8-624E-84C2-514BF19A98A0}"/>
                </c:ext>
              </c:extLst>
            </c:dLbl>
            <c:dLbl>
              <c:idx val="6"/>
              <c:tx>
                <c:rich>
                  <a:bodyPr/>
                  <a:lstStyle/>
                  <a:p>
                    <a:fld id="{41BCC5BB-7E2C-554C-AC9D-26DFA960D6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DBE8-624E-84C2-514BF19A98A0}"/>
                </c:ext>
              </c:extLst>
            </c:dLbl>
            <c:dLbl>
              <c:idx val="7"/>
              <c:tx>
                <c:rich>
                  <a:bodyPr/>
                  <a:lstStyle/>
                  <a:p>
                    <a:fld id="{19004697-7580-1B44-AEC2-94A6FBF13FE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DBE8-624E-84C2-514BF19A98A0}"/>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Calcs!$O$55:$O$62</c:f>
              <c:numCache>
                <c:formatCode>0.00</c:formatCode>
                <c:ptCount val="8"/>
                <c:pt idx="0">
                  <c:v>0</c:v>
                </c:pt>
                <c:pt idx="1">
                  <c:v>-0.7778174593052023</c:v>
                </c:pt>
                <c:pt idx="2">
                  <c:v>-1.1000000000000001</c:v>
                </c:pt>
                <c:pt idx="3">
                  <c:v>-0.77781745930520241</c:v>
                </c:pt>
                <c:pt idx="4">
                  <c:v>-1.347663300399482E-16</c:v>
                </c:pt>
                <c:pt idx="5">
                  <c:v>0.7778174593052023</c:v>
                </c:pt>
                <c:pt idx="6">
                  <c:v>1.1000000000000001</c:v>
                </c:pt>
                <c:pt idx="7">
                  <c:v>0.77781745930520252</c:v>
                </c:pt>
              </c:numCache>
            </c:numRef>
          </c:xVal>
          <c:yVal>
            <c:numRef>
              <c:f>Calcs!$P$55:$P$62</c:f>
              <c:numCache>
                <c:formatCode>0.00</c:formatCode>
                <c:ptCount val="8"/>
                <c:pt idx="0">
                  <c:v>1.1000000000000001</c:v>
                </c:pt>
                <c:pt idx="1">
                  <c:v>0.77781745930520241</c:v>
                </c:pt>
                <c:pt idx="2">
                  <c:v>6.7383165019974101E-17</c:v>
                </c:pt>
                <c:pt idx="3">
                  <c:v>-0.7778174593052023</c:v>
                </c:pt>
                <c:pt idx="4">
                  <c:v>-1.1000000000000001</c:v>
                </c:pt>
                <c:pt idx="5">
                  <c:v>-0.77781745930520252</c:v>
                </c:pt>
                <c:pt idx="6">
                  <c:v>-2.0214949505992233E-16</c:v>
                </c:pt>
                <c:pt idx="7">
                  <c:v>0.77781745930520219</c:v>
                </c:pt>
              </c:numCache>
            </c:numRef>
          </c:yVal>
          <c:smooth val="0"/>
          <c:extLst>
            <c:ext xmlns:c15="http://schemas.microsoft.com/office/drawing/2012/chart" uri="{02D57815-91ED-43cb-92C2-25804820EDAC}">
              <c15:datalabelsRange>
                <c15:f>Calcs!$M$55:$M$62</c15:f>
                <c15:dlblRangeCache>
                  <c:ptCount val="8"/>
                  <c:pt idx="0">
                    <c:v>N</c:v>
                  </c:pt>
                  <c:pt idx="1">
                    <c:v>NE</c:v>
                  </c:pt>
                  <c:pt idx="2">
                    <c:v>E</c:v>
                  </c:pt>
                  <c:pt idx="3">
                    <c:v>SE</c:v>
                  </c:pt>
                  <c:pt idx="4">
                    <c:v>S</c:v>
                  </c:pt>
                  <c:pt idx="5">
                    <c:v>SW</c:v>
                  </c:pt>
                  <c:pt idx="6">
                    <c:v>W</c:v>
                  </c:pt>
                  <c:pt idx="7">
                    <c:v>NW</c:v>
                  </c:pt>
                </c15:dlblRangeCache>
              </c15:datalabelsRange>
            </c:ext>
            <c:ext xmlns:c16="http://schemas.microsoft.com/office/drawing/2014/chart" uri="{C3380CC4-5D6E-409C-BE32-E72D297353CC}">
              <c16:uniqueId val="{00000023-DBE8-624E-84C2-514BF19A98A0}"/>
            </c:ext>
          </c:extLst>
        </c:ser>
        <c:ser>
          <c:idx val="15"/>
          <c:order val="15"/>
          <c:tx>
            <c:v>Gal Plane</c:v>
          </c:tx>
          <c:spPr>
            <a:ln w="19050" cap="rnd">
              <a:solidFill>
                <a:schemeClr val="bg1">
                  <a:lumMod val="50000"/>
                  <a:alpha val="55000"/>
                </a:schemeClr>
              </a:solidFill>
              <a:prstDash val="dash"/>
              <a:round/>
            </a:ln>
            <a:effectLst/>
          </c:spPr>
          <c:marker>
            <c:symbol val="none"/>
          </c:marker>
          <c:xVal>
            <c:numRef>
              <c:f>MODS!$BK$42:$BK$54</c:f>
              <c:numCache>
                <c:formatCode>0.00</c:formatCode>
                <c:ptCount val="13"/>
                <c:pt idx="0">
                  <c:v>0.27533231734234764</c:v>
                </c:pt>
                <c:pt idx="1">
                  <c:v>0.52390038688784935</c:v>
                </c:pt>
                <c:pt idx="2">
                  <c:v>#N/A</c:v>
                </c:pt>
                <c:pt idx="3">
                  <c:v>#N/A</c:v>
                </c:pt>
                <c:pt idx="4">
                  <c:v>#N/A</c:v>
                </c:pt>
                <c:pt idx="5">
                  <c:v>#N/A</c:v>
                </c:pt>
                <c:pt idx="6">
                  <c:v>#N/A</c:v>
                </c:pt>
                <c:pt idx="7">
                  <c:v>#N/A</c:v>
                </c:pt>
                <c:pt idx="8">
                  <c:v>-0.55971491921006922</c:v>
                </c:pt>
                <c:pt idx="9">
                  <c:v>-0.37558749053178708</c:v>
                </c:pt>
                <c:pt idx="10">
                  <c:v>-0.17290109788528649</c:v>
                </c:pt>
                <c:pt idx="11">
                  <c:v>4.4168467132428196E-2</c:v>
                </c:pt>
                <c:pt idx="12">
                  <c:v>0.27533231734234764</c:v>
                </c:pt>
              </c:numCache>
            </c:numRef>
          </c:xVal>
          <c:yVal>
            <c:numRef>
              <c:f>MODS!$BL$42:$BL$54</c:f>
              <c:numCache>
                <c:formatCode>0.00</c:formatCode>
                <c:ptCount val="13"/>
                <c:pt idx="0">
                  <c:v>0.44061382106211128</c:v>
                </c:pt>
                <c:pt idx="1">
                  <c:v>0.66634045017995835</c:v>
                </c:pt>
                <c:pt idx="2">
                  <c:v>#N/A</c:v>
                </c:pt>
                <c:pt idx="3">
                  <c:v>#N/A</c:v>
                </c:pt>
                <c:pt idx="4">
                  <c:v>#N/A</c:v>
                </c:pt>
                <c:pt idx="5">
                  <c:v>#N/A</c:v>
                </c:pt>
                <c:pt idx="6">
                  <c:v>#N/A</c:v>
                </c:pt>
                <c:pt idx="7">
                  <c:v>#N/A</c:v>
                </c:pt>
                <c:pt idx="8">
                  <c:v>-0.60337992291309228</c:v>
                </c:pt>
                <c:pt idx="9">
                  <c:v>-0.32274145578237085</c:v>
                </c:pt>
                <c:pt idx="10">
                  <c:v>-5.626611809268587E-2</c:v>
                </c:pt>
                <c:pt idx="11">
                  <c:v>0.19838135050758135</c:v>
                </c:pt>
                <c:pt idx="12">
                  <c:v>0.44061382106211128</c:v>
                </c:pt>
              </c:numCache>
            </c:numRef>
          </c:yVal>
          <c:smooth val="1"/>
          <c:extLst>
            <c:ext xmlns:c16="http://schemas.microsoft.com/office/drawing/2014/chart" uri="{C3380CC4-5D6E-409C-BE32-E72D297353CC}">
              <c16:uniqueId val="{00000000-9145-3C45-9C19-C2D131BF6189}"/>
            </c:ext>
          </c:extLst>
        </c:ser>
        <c:ser>
          <c:idx val="16"/>
          <c:order val="16"/>
          <c:tx>
            <c:v>Gal Cent</c:v>
          </c:tx>
          <c:spPr>
            <a:ln w="25400" cap="rnd">
              <a:noFill/>
              <a:round/>
            </a:ln>
            <a:effectLst/>
          </c:spPr>
          <c:marker>
            <c:symbol val="none"/>
          </c:marker>
          <c:dLbls>
            <c:dLbl>
              <c:idx val="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9145-3C45-9C19-C2D131BF618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MODS!$BK$56</c:f>
              <c:numCache>
                <c:formatCode>0.00</c:formatCode>
                <c:ptCount val="1"/>
                <c:pt idx="0">
                  <c:v>#N/A</c:v>
                </c:pt>
              </c:numCache>
            </c:numRef>
          </c:xVal>
          <c:yVal>
            <c:numRef>
              <c:f>MODS!$BL$56</c:f>
              <c:numCache>
                <c:formatCode>0.00</c:formatCode>
                <c:ptCount val="1"/>
                <c:pt idx="0">
                  <c:v>#N/A</c:v>
                </c:pt>
              </c:numCache>
            </c:numRef>
          </c:yVal>
          <c:smooth val="0"/>
          <c:extLst>
            <c:ext xmlns:c15="http://schemas.microsoft.com/office/drawing/2012/chart" uri="{02D57815-91ED-43cb-92C2-25804820EDAC}">
              <c15:datalabelsRange>
                <c15:f>MODS!$BG$56</c15:f>
                <c15:dlblRangeCache>
                  <c:ptCount val="1"/>
                  <c:pt idx="0">
                    <c:v>GC</c:v>
                  </c:pt>
                </c15:dlblRangeCache>
              </c15:datalabelsRange>
            </c:ext>
            <c:ext xmlns:c16="http://schemas.microsoft.com/office/drawing/2014/chart" uri="{C3380CC4-5D6E-409C-BE32-E72D297353CC}">
              <c16:uniqueId val="{00000001-9145-3C45-9C19-C2D131BF6189}"/>
            </c:ext>
          </c:extLst>
        </c:ser>
        <c:ser>
          <c:idx val="17"/>
          <c:order val="17"/>
          <c:tx>
            <c:v>MODS UT=</c:v>
          </c:tx>
          <c:spPr>
            <a:ln w="25400" cap="rnd">
              <a:noFill/>
              <a:round/>
            </a:ln>
            <a:effectLst/>
          </c:spPr>
          <c:marker>
            <c:symbol val="none"/>
          </c:marker>
          <c:dLbls>
            <c:dLbl>
              <c:idx val="0"/>
              <c:tx>
                <c:rich>
                  <a:bodyPr/>
                  <a:lstStyle/>
                  <a:p>
                    <a:fld id="{23ADB59C-1C4B-F549-A4C7-0CB3D4ED3E7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145-3C45-9C19-C2D131BF618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MODS!$BO$46</c:f>
              <c:numCache>
                <c:formatCode>General</c:formatCode>
                <c:ptCount val="1"/>
                <c:pt idx="0">
                  <c:v>0.7</c:v>
                </c:pt>
              </c:numCache>
            </c:numRef>
          </c:xVal>
          <c:yVal>
            <c:numRef>
              <c:f>MODS!$BP$46</c:f>
              <c:numCache>
                <c:formatCode>General</c:formatCode>
                <c:ptCount val="1"/>
                <c:pt idx="0">
                  <c:v>1.08</c:v>
                </c:pt>
              </c:numCache>
            </c:numRef>
          </c:yVal>
          <c:smooth val="0"/>
          <c:extLst>
            <c:ext xmlns:c15="http://schemas.microsoft.com/office/drawing/2012/chart" uri="{02D57815-91ED-43cb-92C2-25804820EDAC}">
              <c15:datalabelsRange>
                <c15:f>MODS!$BQ$42</c15:f>
                <c15:dlblRangeCache>
                  <c:ptCount val="1"/>
                  <c:pt idx="0">
                    <c:v>MODS, UT=</c:v>
                  </c:pt>
                </c15:dlblRangeCache>
              </c15:datalabelsRange>
            </c:ext>
            <c:ext xmlns:c16="http://schemas.microsoft.com/office/drawing/2014/chart" uri="{C3380CC4-5D6E-409C-BE32-E72D297353CC}">
              <c16:uniqueId val="{00000003-9145-3C45-9C19-C2D131BF6189}"/>
            </c:ext>
          </c:extLst>
        </c:ser>
        <c:ser>
          <c:idx val="18"/>
          <c:order val="18"/>
          <c:tx>
            <c:v>UT</c:v>
          </c:tx>
          <c:spPr>
            <a:ln w="25400" cap="rnd">
              <a:noFill/>
              <a:round/>
            </a:ln>
            <a:effectLst/>
          </c:spPr>
          <c:marker>
            <c:symbol val="none"/>
          </c:marker>
          <c:dLbls>
            <c:dLbl>
              <c:idx val="0"/>
              <c:tx>
                <c:rich>
                  <a:bodyPr/>
                  <a:lstStyle/>
                  <a:p>
                    <a:fld id="{B0F1979D-5B91-1F47-B09A-6909E82FE52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145-3C45-9C19-C2D131BF618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MODS!$BO$47</c:f>
              <c:numCache>
                <c:formatCode>General</c:formatCode>
                <c:ptCount val="1"/>
                <c:pt idx="0">
                  <c:v>0.98</c:v>
                </c:pt>
              </c:numCache>
            </c:numRef>
          </c:xVal>
          <c:yVal>
            <c:numRef>
              <c:f>MODS!$BP$47</c:f>
              <c:numCache>
                <c:formatCode>General</c:formatCode>
                <c:ptCount val="1"/>
                <c:pt idx="0">
                  <c:v>1.08</c:v>
                </c:pt>
              </c:numCache>
            </c:numRef>
          </c:yVal>
          <c:smooth val="0"/>
          <c:extLst>
            <c:ext xmlns:c15="http://schemas.microsoft.com/office/drawing/2012/chart" uri="{02D57815-91ED-43cb-92C2-25804820EDAC}">
              <c15:datalabelsRange>
                <c15:f>MODS!$BQ$43</c15:f>
                <c15:dlblRangeCache>
                  <c:ptCount val="1"/>
                  <c:pt idx="0">
                    <c:v>1.34</c:v>
                  </c:pt>
                </c15:dlblRangeCache>
              </c15:datalabelsRange>
            </c:ext>
            <c:ext xmlns:c16="http://schemas.microsoft.com/office/drawing/2014/chart" uri="{C3380CC4-5D6E-409C-BE32-E72D297353CC}">
              <c16:uniqueId val="{00000004-9145-3C45-9C19-C2D131BF6189}"/>
            </c:ext>
          </c:extLst>
        </c:ser>
        <c:ser>
          <c:idx val="19"/>
          <c:order val="19"/>
          <c:tx>
            <c:v>Title</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fld id="{51E7EB3A-1CD0-2F44-A4BB-6128FF55F593}" type="CELLRANGE">
                      <a:rPr lang="en-US">
                        <a:solidFill>
                          <a:schemeClr val="tx1">
                            <a:lumMod val="65000"/>
                            <a:lumOff val="35000"/>
                          </a:schemeClr>
                        </a:solidFill>
                      </a:rPr>
                      <a:pPr>
                        <a:defRPr sz="2000">
                          <a:solidFill>
                            <a:schemeClr val="tx1">
                              <a:lumMod val="65000"/>
                              <a:lumOff val="35000"/>
                            </a:schemeClr>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manualLayout>
                      <c:w val="0.25197806077008444"/>
                      <c:h val="8.2231745026285233E-2"/>
                    </c:manualLayout>
                  </c15:layout>
                  <c15:dlblFieldTable/>
                  <c15:showDataLabelsRange val="1"/>
                </c:ext>
                <c:ext xmlns:c16="http://schemas.microsoft.com/office/drawing/2014/chart" uri="{C3380CC4-5D6E-409C-BE32-E72D297353CC}">
                  <c16:uniqueId val="{00000008-9145-3C45-9C19-C2D131BF618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Calcs!$M$64</c:f>
              <c:numCache>
                <c:formatCode>General</c:formatCode>
                <c:ptCount val="1"/>
                <c:pt idx="0">
                  <c:v>-0.9</c:v>
                </c:pt>
              </c:numCache>
            </c:numRef>
          </c:xVal>
          <c:yVal>
            <c:numRef>
              <c:f>Calcs!$N$64</c:f>
              <c:numCache>
                <c:formatCode>General</c:formatCode>
                <c:ptCount val="1"/>
                <c:pt idx="0">
                  <c:v>1.08</c:v>
                </c:pt>
              </c:numCache>
            </c:numRef>
          </c:yVal>
          <c:smooth val="0"/>
          <c:extLst>
            <c:ext xmlns:c15="http://schemas.microsoft.com/office/drawing/2012/chart" uri="{02D57815-91ED-43cb-92C2-25804820EDAC}">
              <c15:datalabelsRange>
                <c15:f>Calcs!$O$64</c15:f>
                <c15:dlblRangeCache>
                  <c:ptCount val="1"/>
                  <c:pt idx="0">
                    <c:v>All-sky Camera</c:v>
                  </c:pt>
                </c15:dlblRangeCache>
              </c15:datalabelsRange>
            </c:ext>
            <c:ext xmlns:c16="http://schemas.microsoft.com/office/drawing/2014/chart" uri="{C3380CC4-5D6E-409C-BE32-E72D297353CC}">
              <c16:uniqueId val="{00000007-9145-3C45-9C19-C2D131BF6189}"/>
            </c:ext>
          </c:extLst>
        </c:ser>
        <c:ser>
          <c:idx val="20"/>
          <c:order val="20"/>
          <c:tx>
            <c:v>NCP</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fld id="{2D64E024-D185-7F4E-804E-A323A25CB6C6}" type="CELLRANGE">
                      <a:rPr lang="en-US"/>
                      <a:pPr>
                        <a:defRPr sz="1000">
                          <a:solidFill>
                            <a:schemeClr val="tx1">
                              <a:lumMod val="50000"/>
                              <a:lumOff val="50000"/>
                            </a:schemeClr>
                          </a:solidFill>
                        </a:defRPr>
                      </a:pPr>
                      <a:t>[CELLRANGE]</a:t>
                    </a:fld>
                    <a:endParaRPr lang="en-US"/>
                  </a:p>
                </c:rich>
              </c:tx>
              <c:spPr>
                <a:no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EAE-5B47-9F99-3F275DB60B88}"/>
                </c:ext>
              </c:extLst>
            </c:dLbl>
            <c:spPr>
              <a:no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Calcs!$M$65</c:f>
              <c:numCache>
                <c:formatCode>General</c:formatCode>
                <c:ptCount val="1"/>
                <c:pt idx="0">
                  <c:v>0</c:v>
                </c:pt>
              </c:numCache>
            </c:numRef>
          </c:xVal>
          <c:yVal>
            <c:numRef>
              <c:f>Calcs!$N$65</c:f>
              <c:numCache>
                <c:formatCode>0.00</c:formatCode>
                <c:ptCount val="1"/>
                <c:pt idx="0">
                  <c:v>0.6366666666666666</c:v>
                </c:pt>
              </c:numCache>
            </c:numRef>
          </c:yVal>
          <c:smooth val="0"/>
          <c:extLst>
            <c:ext xmlns:c15="http://schemas.microsoft.com/office/drawing/2012/chart" uri="{02D57815-91ED-43cb-92C2-25804820EDAC}">
              <c15:datalabelsRange>
                <c15:f>Calcs!$O$65</c15:f>
                <c15:dlblRangeCache>
                  <c:ptCount val="1"/>
                  <c:pt idx="0">
                    <c:v>NCP</c:v>
                  </c:pt>
                </c15:dlblRangeCache>
              </c15:datalabelsRange>
            </c:ext>
            <c:ext xmlns:c16="http://schemas.microsoft.com/office/drawing/2014/chart" uri="{C3380CC4-5D6E-409C-BE32-E72D297353CC}">
              <c16:uniqueId val="{00000000-2EAE-5B47-9F99-3F275DB60B88}"/>
            </c:ext>
          </c:extLst>
        </c:ser>
        <c:ser>
          <c:idx val="21"/>
          <c:order val="21"/>
          <c:tx>
            <c:v>Meridian</c:v>
          </c:tx>
          <c:spPr>
            <a:ln w="15875" cap="rnd">
              <a:solidFill>
                <a:srgbClr val="FF0000">
                  <a:alpha val="27000"/>
                </a:srgbClr>
              </a:solidFill>
              <a:prstDash val="lgDash"/>
              <a:round/>
            </a:ln>
            <a:effectLst/>
          </c:spPr>
          <c:marker>
            <c:symbol val="none"/>
          </c:marker>
          <c:dLbls>
            <c:dLbl>
              <c:idx val="0"/>
              <c:tx>
                <c:rich>
                  <a:bodyPr/>
                  <a:lstStyle/>
                  <a:p>
                    <a:fld id="{F8F45279-2C53-BA4B-A229-97921EF7BED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B87-0943-9BF5-A875AD284318}"/>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1B87-0943-9BF5-A875AD28431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Calcs!$M$66:$M$67</c:f>
              <c:numCache>
                <c:formatCode>General</c:formatCode>
                <c:ptCount val="2"/>
                <c:pt idx="0">
                  <c:v>0</c:v>
                </c:pt>
                <c:pt idx="1">
                  <c:v>0</c:v>
                </c:pt>
              </c:numCache>
            </c:numRef>
          </c:xVal>
          <c:yVal>
            <c:numRef>
              <c:f>Calcs!$N$66:$N$67</c:f>
              <c:numCache>
                <c:formatCode>General</c:formatCode>
                <c:ptCount val="2"/>
                <c:pt idx="0">
                  <c:v>-1</c:v>
                </c:pt>
                <c:pt idx="1">
                  <c:v>1</c:v>
                </c:pt>
              </c:numCache>
            </c:numRef>
          </c:yVal>
          <c:smooth val="0"/>
          <c:extLst>
            <c:ext xmlns:c15="http://schemas.microsoft.com/office/drawing/2012/chart" uri="{02D57815-91ED-43cb-92C2-25804820EDAC}">
              <c15:datalabelsRange>
                <c15:f>Calcs!$O$66</c15:f>
                <c15:dlblRangeCache>
                  <c:ptCount val="1"/>
                  <c:pt idx="0">
                    <c:v>Meridian</c:v>
                  </c:pt>
                </c15:dlblRangeCache>
              </c15:datalabelsRange>
            </c:ext>
            <c:ext xmlns:c16="http://schemas.microsoft.com/office/drawing/2014/chart" uri="{C3380CC4-5D6E-409C-BE32-E72D297353CC}">
              <c16:uniqueId val="{00000000-FAE5-3544-866C-D518D06E7DFB}"/>
            </c:ext>
          </c:extLst>
        </c:ser>
        <c:ser>
          <c:idx val="22"/>
          <c:order val="22"/>
          <c:tx>
            <c:v>Date</c:v>
          </c:tx>
          <c:spPr>
            <a:ln w="25400" cap="rnd">
              <a:noFill/>
              <a:round/>
            </a:ln>
            <a:effectLst/>
          </c:spPr>
          <c:marker>
            <c:symbol val="none"/>
          </c:marker>
          <c:dLbls>
            <c:dLbl>
              <c:idx val="0"/>
              <c:tx>
                <c:rich>
                  <a:bodyPr/>
                  <a:lstStyle/>
                  <a:p>
                    <a:fld id="{D092D251-A986-F245-B5AA-1B95CBD40A3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B87-0943-9BF5-A875AD28431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Calcs!$S$22</c:f>
              <c:numCache>
                <c:formatCode>General</c:formatCode>
                <c:ptCount val="1"/>
                <c:pt idx="0">
                  <c:v>0.9</c:v>
                </c:pt>
              </c:numCache>
            </c:numRef>
          </c:xVal>
          <c:yVal>
            <c:numRef>
              <c:f>Calcs!$T$22</c:f>
              <c:numCache>
                <c:formatCode>General</c:formatCode>
                <c:ptCount val="1"/>
                <c:pt idx="0">
                  <c:v>0.95</c:v>
                </c:pt>
              </c:numCache>
            </c:numRef>
          </c:yVal>
          <c:smooth val="0"/>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1B87-0943-9BF5-A875AD284318}"/>
            </c:ext>
          </c:extLst>
        </c:ser>
        <c:dLbls>
          <c:showLegendKey val="0"/>
          <c:showVal val="0"/>
          <c:showCatName val="0"/>
          <c:showSerName val="0"/>
          <c:showPercent val="0"/>
          <c:showBubbleSize val="0"/>
        </c:dLbls>
        <c:axId val="1866022943"/>
        <c:axId val="150038976"/>
      </c:scatterChart>
      <c:valAx>
        <c:axId val="1866022943"/>
        <c:scaling>
          <c:orientation val="minMax"/>
          <c:max val="1.2"/>
          <c:min val="-1.2"/>
        </c:scaling>
        <c:delete val="1"/>
        <c:axPos val="b"/>
        <c:numFmt formatCode="0.00" sourceLinked="1"/>
        <c:majorTickMark val="none"/>
        <c:minorTickMark val="none"/>
        <c:tickLblPos val="low"/>
        <c:crossAx val="150038976"/>
        <c:crosses val="autoZero"/>
        <c:crossBetween val="midCat"/>
      </c:valAx>
      <c:valAx>
        <c:axId val="150038976"/>
        <c:scaling>
          <c:orientation val="minMax"/>
          <c:max val="1.2"/>
          <c:min val="-1.2"/>
        </c:scaling>
        <c:delete val="1"/>
        <c:axPos val="l"/>
        <c:numFmt formatCode="0.00" sourceLinked="1"/>
        <c:majorTickMark val="none"/>
        <c:minorTickMark val="none"/>
        <c:tickLblPos val="low"/>
        <c:crossAx val="1866022943"/>
        <c:crosses val="autoZero"/>
        <c:crossBetween val="midCat"/>
      </c:valAx>
      <c:spPr>
        <a:gradFill flip="none" rotWithShape="1">
          <a:gsLst>
            <a:gs pos="39000">
              <a:schemeClr val="bg1"/>
            </a:gs>
            <a:gs pos="0">
              <a:schemeClr val="bg1"/>
            </a:gs>
            <a:gs pos="42000">
              <a:schemeClr val="accent4">
                <a:alpha val="69719"/>
                <a:lumMod val="64000"/>
                <a:lumOff val="36000"/>
              </a:schemeClr>
            </a:gs>
            <a:gs pos="61000">
              <a:schemeClr val="bg1">
                <a:lumMod val="85000"/>
              </a:schemeClr>
            </a:gs>
            <a:gs pos="59000">
              <a:schemeClr val="accent4">
                <a:lumMod val="75000"/>
                <a:alpha val="56000"/>
              </a:schemeClr>
            </a:gs>
          </a:gsLst>
          <a:path path="circle">
            <a:fillToRect l="50000" t="50000" r="50000" b="50000"/>
          </a:path>
          <a:tileRect/>
        </a:gra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Alt-Az</a:t>
            </a:r>
            <a:r>
              <a:rPr lang="en-US" sz="1600" b="1" baseline="0"/>
              <a:t> position of targets at given UT</a:t>
            </a:r>
            <a:endParaRPr lang="en-US" sz="1600" b="1"/>
          </a:p>
        </c:rich>
      </c:tx>
      <c:layout>
        <c:manualLayout>
          <c:xMode val="edge"/>
          <c:yMode val="edge"/>
          <c:x val="0.32971336717109617"/>
          <c:y val="2.570987850190310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"Objects"</c:v>
          </c:tx>
          <c:spPr>
            <a:ln w="25400" cap="rnd">
              <a:noFill/>
              <a:round/>
            </a:ln>
            <a:effectLst/>
          </c:spPr>
          <c:marker>
            <c:symbol val="none"/>
          </c:marker>
          <c:dLbls>
            <c:dLbl>
              <c:idx val="0"/>
              <c:tx>
                <c:rich>
                  <a:bodyPr/>
                  <a:lstStyle/>
                  <a:p>
                    <a:fld id="{AF659495-B94B-2D45-BE19-625ADB72949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52CA-3947-AE36-13E47B2BB36D}"/>
                </c:ext>
              </c:extLst>
            </c:dLbl>
            <c:dLbl>
              <c:idx val="1"/>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52CA-3947-AE36-13E47B2BB36D}"/>
                </c:ext>
              </c:extLst>
            </c:dLbl>
            <c:dLbl>
              <c:idx val="2"/>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52CA-3947-AE36-13E47B2BB36D}"/>
                </c:ext>
              </c:extLst>
            </c:dLbl>
            <c:dLbl>
              <c:idx val="3"/>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52CA-3947-AE36-13E47B2BB36D}"/>
                </c:ext>
              </c:extLst>
            </c:dLbl>
            <c:dLbl>
              <c:idx val="4"/>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52CA-3947-AE36-13E47B2BB36D}"/>
                </c:ext>
              </c:extLst>
            </c:dLbl>
            <c:dLbl>
              <c:idx val="5"/>
              <c:tx>
                <c:rich>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52CA-3947-AE36-13E47B2BB36D}"/>
                </c:ext>
              </c:extLst>
            </c:dLbl>
            <c:dLbl>
              <c:idx val="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52CA-3947-AE36-13E47B2BB36D}"/>
                </c:ext>
              </c:extLst>
            </c:dLbl>
            <c:dLbl>
              <c:idx val="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52CA-3947-AE36-13E47B2BB36D}"/>
                </c:ext>
              </c:extLst>
            </c:dLbl>
            <c:dLbl>
              <c:idx val="8"/>
              <c:tx>
                <c:rich>
                  <a:bodyPr/>
                  <a:lstStyle/>
                  <a:p>
                    <a:fld id="{2B866D3F-B16A-3547-AAA7-4848CC7CF9E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2CA-3947-AE36-13E47B2BB36D}"/>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52CA-3947-AE36-13E47B2BB36D}"/>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52CA-3947-AE36-13E47B2BB36D}"/>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52CA-3947-AE36-13E47B2BB36D}"/>
                </c:ext>
              </c:extLst>
            </c:dLbl>
            <c:dLbl>
              <c:idx val="1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52CA-3947-AE36-13E47B2BB36D}"/>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52CA-3947-AE36-13E47B2BB36D}"/>
                </c:ext>
              </c:extLst>
            </c:dLbl>
            <c:dLbl>
              <c:idx val="1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52CA-3947-AE36-13E47B2BB36D}"/>
                </c:ext>
              </c:extLst>
            </c:dLbl>
            <c:dLbl>
              <c:idx val="1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52CA-3947-AE36-13E47B2BB36D}"/>
                </c:ext>
              </c:extLst>
            </c:dLbl>
            <c:dLbl>
              <c:idx val="1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52CA-3947-AE36-13E47B2BB36D}"/>
                </c:ext>
              </c:extLst>
            </c:dLbl>
            <c:dLbl>
              <c:idx val="1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52CA-3947-AE36-13E47B2BB36D}"/>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52CA-3947-AE36-13E47B2BB36D}"/>
                </c:ext>
              </c:extLst>
            </c:dLbl>
            <c:dLbl>
              <c:idx val="1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52CA-3947-AE36-13E47B2BB36D}"/>
                </c:ext>
              </c:extLst>
            </c:dLbl>
            <c:dLbl>
              <c:idx val="2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52CA-3947-AE36-13E47B2BB36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LUCI!$AO$4:$AO$24</c:f>
              <c:numCache>
                <c:formatCode>0</c:formatCode>
                <c:ptCount val="21"/>
                <c:pt idx="0">
                  <c:v>265.5101844214899</c:v>
                </c:pt>
                <c:pt idx="1">
                  <c:v>#N/A</c:v>
                </c:pt>
                <c:pt idx="2">
                  <c:v>#N/A</c:v>
                </c:pt>
                <c:pt idx="3">
                  <c:v>#N/A</c:v>
                </c:pt>
                <c:pt idx="4">
                  <c:v>#N/A</c:v>
                </c:pt>
                <c:pt idx="5">
                  <c:v>#N/A</c:v>
                </c:pt>
                <c:pt idx="6">
                  <c:v>#N/A</c:v>
                </c:pt>
                <c:pt idx="7">
                  <c:v>#N/A</c:v>
                </c:pt>
                <c:pt idx="8">
                  <c:v>243.15482610813416</c:v>
                </c:pt>
                <c:pt idx="9">
                  <c:v>#N/A</c:v>
                </c:pt>
                <c:pt idx="10">
                  <c:v>#N/A</c:v>
                </c:pt>
                <c:pt idx="11">
                  <c:v>#N/A</c:v>
                </c:pt>
                <c:pt idx="12">
                  <c:v>#N/A</c:v>
                </c:pt>
                <c:pt idx="13">
                  <c:v>#N/A</c:v>
                </c:pt>
                <c:pt idx="14">
                  <c:v>#N/A</c:v>
                </c:pt>
                <c:pt idx="15">
                  <c:v>#N/A</c:v>
                </c:pt>
                <c:pt idx="16">
                  <c:v>#N/A</c:v>
                </c:pt>
                <c:pt idx="17">
                  <c:v>#N/A</c:v>
                </c:pt>
                <c:pt idx="18">
                  <c:v>#N/A</c:v>
                </c:pt>
                <c:pt idx="19">
                  <c:v>#N/A</c:v>
                </c:pt>
                <c:pt idx="20">
                  <c:v>#N/A</c:v>
                </c:pt>
              </c:numCache>
            </c:numRef>
          </c:xVal>
          <c:yVal>
            <c:numRef>
              <c:f>LUCI!$AE$4:$AE$24</c:f>
              <c:numCache>
                <c:formatCode>0</c:formatCode>
                <c:ptCount val="21"/>
                <c:pt idx="0">
                  <c:v>-19.827303742046936</c:v>
                </c:pt>
                <c:pt idx="1">
                  <c:v>#N/A</c:v>
                </c:pt>
                <c:pt idx="2">
                  <c:v>#N/A</c:v>
                </c:pt>
                <c:pt idx="3">
                  <c:v>#N/A</c:v>
                </c:pt>
                <c:pt idx="4">
                  <c:v>#N/A</c:v>
                </c:pt>
                <c:pt idx="5">
                  <c:v>#N/A</c:v>
                </c:pt>
                <c:pt idx="6">
                  <c:v>#N/A</c:v>
                </c:pt>
                <c:pt idx="7">
                  <c:v>#N/A</c:v>
                </c:pt>
                <c:pt idx="8">
                  <c:v>64.216660702408021</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5="http://schemas.microsoft.com/office/drawing/2012/chart" uri="{02D57815-91ED-43cb-92C2-25804820EDAC}">
              <c15:datalabelsRange>
                <c15:f>LUCI!$W$4:$W$24</c15:f>
                <c15:dlblRangeCache>
                  <c:ptCount val="21"/>
                  <c:pt idx="0">
                    <c:v>Moon</c:v>
                  </c:pt>
                  <c:pt idx="1">
                    <c:v>J2229</c:v>
                  </c:pt>
                  <c:pt idx="3">
                    <c:v>J0042</c:v>
                  </c:pt>
                  <c:pt idx="4">
                    <c:v>J0158</c:v>
                  </c:pt>
                  <c:pt idx="5">
                    <c:v>J0224</c:v>
                  </c:pt>
                  <c:pt idx="6">
                    <c:v>J2031</c:v>
                  </c:pt>
                  <c:pt idx="8">
                    <c:v>Uranus</c:v>
                  </c:pt>
                </c15:dlblRangeCache>
              </c15:datalabelsRange>
            </c:ext>
            <c:ext xmlns:c16="http://schemas.microsoft.com/office/drawing/2014/chart" uri="{C3380CC4-5D6E-409C-BE32-E72D297353CC}">
              <c16:uniqueId val="{00000015-52CA-3947-AE36-13E47B2BB36D}"/>
            </c:ext>
          </c:extLst>
        </c:ser>
        <c:ser>
          <c:idx val="1"/>
          <c:order val="1"/>
          <c:tx>
            <c:v>"elevation limit"</c:v>
          </c:tx>
          <c:spPr>
            <a:ln w="15875"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Calcs!$N$30:$N$31</c:f>
              <c:numCache>
                <c:formatCode>General</c:formatCode>
                <c:ptCount val="2"/>
                <c:pt idx="0">
                  <c:v>30</c:v>
                </c:pt>
                <c:pt idx="1">
                  <c:v>30</c:v>
                </c:pt>
              </c:numCache>
            </c:numRef>
          </c:yVal>
          <c:smooth val="0"/>
          <c:extLst>
            <c:ext xmlns:c16="http://schemas.microsoft.com/office/drawing/2014/chart" uri="{C3380CC4-5D6E-409C-BE32-E72D297353CC}">
              <c16:uniqueId val="{00000016-52CA-3947-AE36-13E47B2BB36D}"/>
            </c:ext>
          </c:extLst>
        </c:ser>
        <c:ser>
          <c:idx val="2"/>
          <c:order val="2"/>
          <c:tx>
            <c:v>"Zenith Limit"</c:v>
          </c:tx>
          <c:spPr>
            <a:ln w="15875"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Calcs!$O$30:$O$31</c:f>
              <c:numCache>
                <c:formatCode>General</c:formatCode>
                <c:ptCount val="2"/>
                <c:pt idx="0">
                  <c:v>86</c:v>
                </c:pt>
                <c:pt idx="1">
                  <c:v>86</c:v>
                </c:pt>
              </c:numCache>
            </c:numRef>
          </c:yVal>
          <c:smooth val="0"/>
          <c:extLst>
            <c:ext xmlns:c16="http://schemas.microsoft.com/office/drawing/2014/chart" uri="{C3380CC4-5D6E-409C-BE32-E72D297353CC}">
              <c16:uniqueId val="{00000017-52CA-3947-AE36-13E47B2BB36D}"/>
            </c:ext>
          </c:extLst>
        </c:ser>
        <c:ser>
          <c:idx val="3"/>
          <c:order val="3"/>
          <c:tx>
            <c:v>"Meridian"</c:v>
          </c:tx>
          <c:spPr>
            <a:ln w="12700" cap="rnd">
              <a:solidFill>
                <a:schemeClr val="bg1">
                  <a:lumMod val="50000"/>
                </a:schemeClr>
              </a:solidFill>
              <a:prstDash val="dash"/>
              <a:round/>
            </a:ln>
            <a:effectLst/>
          </c:spPr>
          <c:marker>
            <c:symbol val="none"/>
          </c:marker>
          <c:dPt>
            <c:idx val="1"/>
            <c:marker>
              <c:symbol val="none"/>
            </c:marker>
            <c:bubble3D val="0"/>
            <c:spPr>
              <a:ln w="15875" cap="rnd">
                <a:solidFill>
                  <a:srgbClr val="FF0000"/>
                </a:solidFill>
                <a:prstDash val="dash"/>
                <a:round/>
              </a:ln>
              <a:effectLst/>
            </c:spPr>
            <c:extLst>
              <c:ext xmlns:c16="http://schemas.microsoft.com/office/drawing/2014/chart" uri="{C3380CC4-5D6E-409C-BE32-E72D297353CC}">
                <c16:uniqueId val="{00000019-52CA-3947-AE36-13E47B2BB36D}"/>
              </c:ext>
            </c:extLst>
          </c:dPt>
          <c:xVal>
            <c:numRef>
              <c:f>Calcs!$M$32:$M$33</c:f>
              <c:numCache>
                <c:formatCode>General</c:formatCode>
                <c:ptCount val="2"/>
                <c:pt idx="0">
                  <c:v>180</c:v>
                </c:pt>
                <c:pt idx="1">
                  <c:v>180</c:v>
                </c:pt>
              </c:numCache>
            </c:numRef>
          </c:xVal>
          <c:yVal>
            <c:numRef>
              <c:f>Calcs!$N$32:$N$33</c:f>
              <c:numCache>
                <c:formatCode>General</c:formatCode>
                <c:ptCount val="2"/>
                <c:pt idx="0">
                  <c:v>0</c:v>
                </c:pt>
                <c:pt idx="1">
                  <c:v>90</c:v>
                </c:pt>
              </c:numCache>
            </c:numRef>
          </c:yVal>
          <c:smooth val="0"/>
          <c:extLst>
            <c:ext xmlns:c16="http://schemas.microsoft.com/office/drawing/2014/chart" uri="{C3380CC4-5D6E-409C-BE32-E72D297353CC}">
              <c16:uniqueId val="{0000001A-52CA-3947-AE36-13E47B2BB36D}"/>
            </c:ext>
          </c:extLst>
        </c:ser>
        <c:ser>
          <c:idx val="4"/>
          <c:order val="4"/>
          <c:tx>
            <c:v>"Dec -20"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Calcs!$Y$31:$Y$43</c:f>
              <c:numCache>
                <c:formatCode>0</c:formatCode>
                <c:ptCount val="13"/>
                <c:pt idx="0">
                  <c:v>107.02903424436295</c:v>
                </c:pt>
                <c:pt idx="1">
                  <c:v>114.78968379951743</c:v>
                </c:pt>
                <c:pt idx="2">
                  <c:v>123.64675150493228</c:v>
                </c:pt>
                <c:pt idx="3">
                  <c:v>134.22752195987701</c:v>
                </c:pt>
                <c:pt idx="4">
                  <c:v>147.14269848289527</c:v>
                </c:pt>
                <c:pt idx="5">
                  <c:v>162.6439270283274</c:v>
                </c:pt>
                <c:pt idx="6">
                  <c:v>180</c:v>
                </c:pt>
                <c:pt idx="7">
                  <c:v>197.3560729716726</c:v>
                </c:pt>
                <c:pt idx="8">
                  <c:v>212.85730151710473</c:v>
                </c:pt>
                <c:pt idx="9">
                  <c:v>225.77247804012299</c:v>
                </c:pt>
                <c:pt idx="10">
                  <c:v>236.3532484950677</c:v>
                </c:pt>
                <c:pt idx="11">
                  <c:v>245.21031620048257</c:v>
                </c:pt>
                <c:pt idx="12">
                  <c:v>252.97096575563705</c:v>
                </c:pt>
              </c:numCache>
            </c:numRef>
          </c:xVal>
          <c:yVal>
            <c:numRef>
              <c:f>Calcs!$Z$31:$Z$43</c:f>
              <c:numCache>
                <c:formatCode>0</c:formatCode>
                <c:ptCount val="13"/>
                <c:pt idx="0">
                  <c:v>-10.647902283000841</c:v>
                </c:pt>
                <c:pt idx="1">
                  <c:v>1.1397487980177132</c:v>
                </c:pt>
                <c:pt idx="2">
                  <c:v>12.157965287544533</c:v>
                </c:pt>
                <c:pt idx="3">
                  <c:v>21.985981395600813</c:v>
                </c:pt>
                <c:pt idx="4">
                  <c:v>30.003073243340051</c:v>
                </c:pt>
                <c:pt idx="5">
                  <c:v>35.383320664520298</c:v>
                </c:pt>
                <c:pt idx="6">
                  <c:v>37.300000000000011</c:v>
                </c:pt>
                <c:pt idx="7">
                  <c:v>35.383320664520298</c:v>
                </c:pt>
                <c:pt idx="8">
                  <c:v>30.003073243340051</c:v>
                </c:pt>
                <c:pt idx="9">
                  <c:v>21.985981395600813</c:v>
                </c:pt>
                <c:pt idx="10">
                  <c:v>12.157965287544533</c:v>
                </c:pt>
                <c:pt idx="11">
                  <c:v>1.1397487980177132</c:v>
                </c:pt>
                <c:pt idx="12">
                  <c:v>-10.647902283000841</c:v>
                </c:pt>
              </c:numCache>
            </c:numRef>
          </c:yVal>
          <c:smooth val="0"/>
          <c:extLst>
            <c:ext xmlns:c16="http://schemas.microsoft.com/office/drawing/2014/chart" uri="{C3380CC4-5D6E-409C-BE32-E72D297353CC}">
              <c16:uniqueId val="{0000001B-52CA-3947-AE36-13E47B2BB36D}"/>
            </c:ext>
          </c:extLst>
        </c:ser>
        <c:ser>
          <c:idx val="5"/>
          <c:order val="5"/>
          <c:tx>
            <c:v>"Dec 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Calcs!$AA$31:$AA$43</c:f>
              <c:numCache>
                <c:formatCode>0</c:formatCode>
                <c:ptCount val="13"/>
                <c:pt idx="0">
                  <c:v>90</c:v>
                </c:pt>
                <c:pt idx="1">
                  <c:v>98.236748204702977</c:v>
                </c:pt>
                <c:pt idx="2">
                  <c:v>107.32311253128316</c:v>
                </c:pt>
                <c:pt idx="3">
                  <c:v>118.37970591360207</c:v>
                </c:pt>
                <c:pt idx="4">
                  <c:v>133.09817430910678</c:v>
                </c:pt>
                <c:pt idx="5">
                  <c:v>153.61944023636568</c:v>
                </c:pt>
                <c:pt idx="6">
                  <c:v>180</c:v>
                </c:pt>
                <c:pt idx="7">
                  <c:v>206.38055976363432</c:v>
                </c:pt>
                <c:pt idx="8">
                  <c:v>226.90182569089322</c:v>
                </c:pt>
                <c:pt idx="9">
                  <c:v>241.62029408639793</c:v>
                </c:pt>
                <c:pt idx="10">
                  <c:v>252.67688746871684</c:v>
                </c:pt>
                <c:pt idx="11">
                  <c:v>261.76325179529704</c:v>
                </c:pt>
                <c:pt idx="12">
                  <c:v>270</c:v>
                </c:pt>
              </c:numCache>
            </c:numRef>
          </c:xVal>
          <c:yVal>
            <c:numRef>
              <c:f>Calcs!$AB$31:$AB$43</c:f>
              <c:numCache>
                <c:formatCode>0</c:formatCode>
                <c:ptCount val="13"/>
                <c:pt idx="0">
                  <c:v>2.9535276312798145E-15</c:v>
                </c:pt>
                <c:pt idx="1">
                  <c:v>12.579791486979417</c:v>
                </c:pt>
                <c:pt idx="2">
                  <c:v>24.882287665203343</c:v>
                </c:pt>
                <c:pt idx="3">
                  <c:v>36.515339679802814</c:v>
                </c:pt>
                <c:pt idx="4">
                  <c:v>46.78335381826129</c:v>
                </c:pt>
                <c:pt idx="5">
                  <c:v>54.374047122650516</c:v>
                </c:pt>
                <c:pt idx="6">
                  <c:v>57.3</c:v>
                </c:pt>
                <c:pt idx="7">
                  <c:v>54.374047122650516</c:v>
                </c:pt>
                <c:pt idx="8">
                  <c:v>46.78335381826129</c:v>
                </c:pt>
                <c:pt idx="9">
                  <c:v>36.515339679802814</c:v>
                </c:pt>
                <c:pt idx="10">
                  <c:v>24.882287665203343</c:v>
                </c:pt>
                <c:pt idx="11">
                  <c:v>12.579791486979417</c:v>
                </c:pt>
                <c:pt idx="12">
                  <c:v>2.9535276312798145E-15</c:v>
                </c:pt>
              </c:numCache>
            </c:numRef>
          </c:yVal>
          <c:smooth val="0"/>
          <c:extLst>
            <c:ext xmlns:c16="http://schemas.microsoft.com/office/drawing/2014/chart" uri="{C3380CC4-5D6E-409C-BE32-E72D297353CC}">
              <c16:uniqueId val="{0000001C-52CA-3947-AE36-13E47B2BB36D}"/>
            </c:ext>
          </c:extLst>
        </c:ser>
        <c:ser>
          <c:idx val="6"/>
          <c:order val="6"/>
          <c:tx>
            <c:v>"Dec 20"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Calcs!$AC$31:$AC$43</c:f>
              <c:numCache>
                <c:formatCode>0</c:formatCode>
                <c:ptCount val="13"/>
                <c:pt idx="0">
                  <c:v>72.970965755637053</c:v>
                </c:pt>
                <c:pt idx="1">
                  <c:v>80.222117465539853</c:v>
                </c:pt>
                <c:pt idx="2">
                  <c:v>87.608750982038728</c:v>
                </c:pt>
                <c:pt idx="3">
                  <c:v>96.112401476938246</c:v>
                </c:pt>
                <c:pt idx="4">
                  <c:v>107.90844260304503</c:v>
                </c:pt>
                <c:pt idx="5">
                  <c:v>129.78788530765956</c:v>
                </c:pt>
                <c:pt idx="6">
                  <c:v>180</c:v>
                </c:pt>
                <c:pt idx="7">
                  <c:v>230.21211469234044</c:v>
                </c:pt>
                <c:pt idx="8">
                  <c:v>252.09155739695495</c:v>
                </c:pt>
                <c:pt idx="9">
                  <c:v>263.88759852306174</c:v>
                </c:pt>
                <c:pt idx="10">
                  <c:v>272.39124901796129</c:v>
                </c:pt>
                <c:pt idx="11">
                  <c:v>279.77788253446016</c:v>
                </c:pt>
                <c:pt idx="12">
                  <c:v>287.02903424436295</c:v>
                </c:pt>
              </c:numCache>
            </c:numRef>
          </c:xVal>
          <c:yVal>
            <c:numRef>
              <c:f>Calcs!$AD$31:$AD$43</c:f>
              <c:numCache>
                <c:formatCode>0</c:formatCode>
                <c:ptCount val="13"/>
                <c:pt idx="0">
                  <c:v>10.647902283000848</c:v>
                </c:pt>
                <c:pt idx="1">
                  <c:v>22.919484936535</c:v>
                </c:pt>
                <c:pt idx="2">
                  <c:v>35.461361393613451</c:v>
                </c:pt>
                <c:pt idx="3">
                  <c:v>48.066922167281085</c:v>
                </c:pt>
                <c:pt idx="4">
                  <c:v>60.411330879740305</c:v>
                </c:pt>
                <c:pt idx="5">
                  <c:v>71.548154461504794</c:v>
                </c:pt>
                <c:pt idx="6">
                  <c:v>77.3</c:v>
                </c:pt>
                <c:pt idx="7">
                  <c:v>71.548154461504794</c:v>
                </c:pt>
                <c:pt idx="8">
                  <c:v>60.411330879740305</c:v>
                </c:pt>
                <c:pt idx="9">
                  <c:v>48.066922167281085</c:v>
                </c:pt>
                <c:pt idx="10">
                  <c:v>35.461361393613451</c:v>
                </c:pt>
                <c:pt idx="11">
                  <c:v>22.919484936535</c:v>
                </c:pt>
                <c:pt idx="12">
                  <c:v>10.647902283000848</c:v>
                </c:pt>
              </c:numCache>
            </c:numRef>
          </c:yVal>
          <c:smooth val="0"/>
          <c:extLst>
            <c:ext xmlns:c16="http://schemas.microsoft.com/office/drawing/2014/chart" uri="{C3380CC4-5D6E-409C-BE32-E72D297353CC}">
              <c16:uniqueId val="{0000001D-52CA-3947-AE36-13E47B2BB36D}"/>
            </c:ext>
          </c:extLst>
        </c:ser>
        <c:ser>
          <c:idx val="7"/>
          <c:order val="7"/>
          <c:tx>
            <c:v>Dec 40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Calcs!$AE$31:$AE$37</c:f>
              <c:numCache>
                <c:formatCode>0</c:formatCode>
                <c:ptCount val="7"/>
                <c:pt idx="0">
                  <c:v>54.773649427199068</c:v>
                </c:pt>
                <c:pt idx="1">
                  <c:v>59.618467093394699</c:v>
                </c:pt>
                <c:pt idx="2">
                  <c:v>63.277519715569262</c:v>
                </c:pt>
                <c:pt idx="3">
                  <c:v>65.375552352537142</c:v>
                </c:pt>
                <c:pt idx="4">
                  <c:v>64.522242830245119</c:v>
                </c:pt>
                <c:pt idx="5">
                  <c:v>54.549112084780688</c:v>
                </c:pt>
                <c:pt idx="6">
                  <c:v>0</c:v>
                </c:pt>
              </c:numCache>
            </c:numRef>
          </c:xVal>
          <c:yVal>
            <c:numRef>
              <c:f>Calcs!$AF$31:$AF$37</c:f>
              <c:numCache>
                <c:formatCode>0</c:formatCode>
                <c:ptCount val="7"/>
                <c:pt idx="0">
                  <c:v>20.319802581796932</c:v>
                </c:pt>
                <c:pt idx="1">
                  <c:v>30.93755122000206</c:v>
                </c:pt>
                <c:pt idx="2">
                  <c:v>42.034434601207053</c:v>
                </c:pt>
                <c:pt idx="3">
                  <c:v>53.425747279019312</c:v>
                </c:pt>
                <c:pt idx="4">
                  <c:v>64.894729558190605</c:v>
                </c:pt>
                <c:pt idx="5">
                  <c:v>75.913420070000157</c:v>
                </c:pt>
                <c:pt idx="6">
                  <c:v>82.699999999999974</c:v>
                </c:pt>
              </c:numCache>
            </c:numRef>
          </c:yVal>
          <c:smooth val="0"/>
          <c:extLst>
            <c:ext xmlns:c16="http://schemas.microsoft.com/office/drawing/2014/chart" uri="{C3380CC4-5D6E-409C-BE32-E72D297353CC}">
              <c16:uniqueId val="{0000001E-52CA-3947-AE36-13E47B2BB36D}"/>
            </c:ext>
          </c:extLst>
        </c:ser>
        <c:ser>
          <c:idx val="10"/>
          <c:order val="8"/>
          <c:tx>
            <c:v>"Dec 40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Calcs!$AE$38:$AE$44</c:f>
              <c:numCache>
                <c:formatCode>0</c:formatCode>
                <c:ptCount val="7"/>
                <c:pt idx="0">
                  <c:v>305.22635057280092</c:v>
                </c:pt>
                <c:pt idx="1">
                  <c:v>300.38153290660529</c:v>
                </c:pt>
                <c:pt idx="2">
                  <c:v>296.72248028443073</c:v>
                </c:pt>
                <c:pt idx="3">
                  <c:v>294.62444764746283</c:v>
                </c:pt>
                <c:pt idx="4">
                  <c:v>295.47775716975491</c:v>
                </c:pt>
                <c:pt idx="5">
                  <c:v>305.45088791521931</c:v>
                </c:pt>
                <c:pt idx="6">
                  <c:v>360</c:v>
                </c:pt>
              </c:numCache>
            </c:numRef>
          </c:xVal>
          <c:yVal>
            <c:numRef>
              <c:f>Calcs!$AF$38:$AF$44</c:f>
              <c:numCache>
                <c:formatCode>0</c:formatCode>
                <c:ptCount val="7"/>
                <c:pt idx="0">
                  <c:v>20.319802581796932</c:v>
                </c:pt>
                <c:pt idx="1">
                  <c:v>30.93755122000206</c:v>
                </c:pt>
                <c:pt idx="2">
                  <c:v>42.034434601207053</c:v>
                </c:pt>
                <c:pt idx="3">
                  <c:v>53.425747279019312</c:v>
                </c:pt>
                <c:pt idx="4">
                  <c:v>64.894729558190605</c:v>
                </c:pt>
                <c:pt idx="5">
                  <c:v>75.913420070000157</c:v>
                </c:pt>
                <c:pt idx="6">
                  <c:v>82.699999999999974</c:v>
                </c:pt>
              </c:numCache>
            </c:numRef>
          </c:yVal>
          <c:smooth val="0"/>
          <c:extLst>
            <c:ext xmlns:c16="http://schemas.microsoft.com/office/drawing/2014/chart" uri="{C3380CC4-5D6E-409C-BE32-E72D297353CC}">
              <c16:uniqueId val="{0000001F-52CA-3947-AE36-13E47B2BB36D}"/>
            </c:ext>
          </c:extLst>
        </c:ser>
        <c:ser>
          <c:idx val="8"/>
          <c:order val="9"/>
          <c:tx>
            <c:v>"Dec 60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Calcs!$AG$31:$AG$37</c:f>
              <c:numCache>
                <c:formatCode>0</c:formatCode>
                <c:ptCount val="7"/>
                <c:pt idx="0">
                  <c:v>34.453542564623511</c:v>
                </c:pt>
                <c:pt idx="1">
                  <c:v>36.242569325632047</c:v>
                </c:pt>
                <c:pt idx="2">
                  <c:v>36.104547906981949</c:v>
                </c:pt>
                <c:pt idx="3">
                  <c:v>33.322859188499407</c:v>
                </c:pt>
                <c:pt idx="4">
                  <c:v>26.803591925178001</c:v>
                </c:pt>
                <c:pt idx="5">
                  <c:v>15.46158026525119</c:v>
                </c:pt>
                <c:pt idx="6">
                  <c:v>0</c:v>
                </c:pt>
              </c:numCache>
            </c:numRef>
          </c:xVal>
          <c:yVal>
            <c:numRef>
              <c:f>Calcs!$AH$31:$AH$37</c:f>
              <c:numCache>
                <c:formatCode>0</c:formatCode>
                <c:ptCount val="7"/>
                <c:pt idx="0">
                  <c:v>27.895593331044331</c:v>
                </c:pt>
                <c:pt idx="1">
                  <c:v>35.223074169307544</c:v>
                </c:pt>
                <c:pt idx="2">
                  <c:v>42.706226966718809</c:v>
                </c:pt>
                <c:pt idx="3">
                  <c:v>49.940884409088838</c:v>
                </c:pt>
                <c:pt idx="4">
                  <c:v>56.330224788620711</c:v>
                </c:pt>
                <c:pt idx="5">
                  <c:v>60.959918239616378</c:v>
                </c:pt>
                <c:pt idx="6">
                  <c:v>62.7</c:v>
                </c:pt>
              </c:numCache>
            </c:numRef>
          </c:yVal>
          <c:smooth val="0"/>
          <c:extLst>
            <c:ext xmlns:c16="http://schemas.microsoft.com/office/drawing/2014/chart" uri="{C3380CC4-5D6E-409C-BE32-E72D297353CC}">
              <c16:uniqueId val="{00000020-52CA-3947-AE36-13E47B2BB36D}"/>
            </c:ext>
          </c:extLst>
        </c:ser>
        <c:ser>
          <c:idx val="11"/>
          <c:order val="10"/>
          <c:tx>
            <c:v>"Dec 60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Calcs!$AG$38:$AG$44</c:f>
              <c:numCache>
                <c:formatCode>0</c:formatCode>
                <c:ptCount val="7"/>
                <c:pt idx="0">
                  <c:v>325.54645743537651</c:v>
                </c:pt>
                <c:pt idx="1">
                  <c:v>323.75743067436792</c:v>
                </c:pt>
                <c:pt idx="2">
                  <c:v>323.89545209301804</c:v>
                </c:pt>
                <c:pt idx="3">
                  <c:v>326.67714081150058</c:v>
                </c:pt>
                <c:pt idx="4">
                  <c:v>333.19640807482199</c:v>
                </c:pt>
                <c:pt idx="5">
                  <c:v>344.5384197347488</c:v>
                </c:pt>
                <c:pt idx="6" formatCode="General">
                  <c:v>360</c:v>
                </c:pt>
              </c:numCache>
            </c:numRef>
          </c:xVal>
          <c:yVal>
            <c:numRef>
              <c:f>Calcs!$AH$38:$AH$44</c:f>
              <c:numCache>
                <c:formatCode>0</c:formatCode>
                <c:ptCount val="7"/>
                <c:pt idx="0">
                  <c:v>27.895593331044331</c:v>
                </c:pt>
                <c:pt idx="1">
                  <c:v>35.223074169307544</c:v>
                </c:pt>
                <c:pt idx="2">
                  <c:v>42.706226966718809</c:v>
                </c:pt>
                <c:pt idx="3">
                  <c:v>49.940884409088838</c:v>
                </c:pt>
                <c:pt idx="4">
                  <c:v>56.330224788620711</c:v>
                </c:pt>
                <c:pt idx="5">
                  <c:v>60.959918239616378</c:v>
                </c:pt>
                <c:pt idx="6">
                  <c:v>62.7</c:v>
                </c:pt>
              </c:numCache>
            </c:numRef>
          </c:yVal>
          <c:smooth val="0"/>
          <c:extLst>
            <c:ext xmlns:c16="http://schemas.microsoft.com/office/drawing/2014/chart" uri="{C3380CC4-5D6E-409C-BE32-E72D297353CC}">
              <c16:uniqueId val="{00000021-52CA-3947-AE36-13E47B2BB36D}"/>
            </c:ext>
          </c:extLst>
        </c:ser>
        <c:ser>
          <c:idx val="9"/>
          <c:order val="11"/>
          <c:tx>
            <c:v>"Dec 80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Calcs!$AI$31:$AI$37</c:f>
              <c:numCache>
                <c:formatCode>0</c:formatCode>
                <c:ptCount val="7"/>
                <c:pt idx="0">
                  <c:v>11.83432597146335</c:v>
                </c:pt>
                <c:pt idx="1">
                  <c:v>11.777730977235509</c:v>
                </c:pt>
                <c:pt idx="2">
                  <c:v>10.887904639642294</c:v>
                </c:pt>
                <c:pt idx="3">
                  <c:v>9.149267977654592</c:v>
                </c:pt>
                <c:pt idx="4">
                  <c:v>6.6255159958337737</c:v>
                </c:pt>
                <c:pt idx="5">
                  <c:v>3.4844277193300073</c:v>
                </c:pt>
                <c:pt idx="6">
                  <c:v>0</c:v>
                </c:pt>
              </c:numCache>
            </c:numRef>
          </c:xVal>
          <c:yVal>
            <c:numRef>
              <c:f>Calcs!$AJ$31:$AJ$37</c:f>
              <c:numCache>
                <c:formatCode>0</c:formatCode>
                <c:ptCount val="7"/>
                <c:pt idx="0">
                  <c:v>32.142909895224342</c:v>
                </c:pt>
                <c:pt idx="1">
                  <c:v>34.739993657072219</c:v>
                </c:pt>
                <c:pt idx="2">
                  <c:v>37.235769204297057</c:v>
                </c:pt>
                <c:pt idx="3">
                  <c:v>39.446698793292988</c:v>
                </c:pt>
                <c:pt idx="4">
                  <c:v>41.191847129464179</c:v>
                </c:pt>
                <c:pt idx="5">
                  <c:v>42.313015982447965</c:v>
                </c:pt>
                <c:pt idx="6">
                  <c:v>42.7</c:v>
                </c:pt>
              </c:numCache>
            </c:numRef>
          </c:yVal>
          <c:smooth val="0"/>
          <c:extLst>
            <c:ext xmlns:c16="http://schemas.microsoft.com/office/drawing/2014/chart" uri="{C3380CC4-5D6E-409C-BE32-E72D297353CC}">
              <c16:uniqueId val="{00000022-52CA-3947-AE36-13E47B2BB36D}"/>
            </c:ext>
          </c:extLst>
        </c:ser>
        <c:ser>
          <c:idx val="12"/>
          <c:order val="12"/>
          <c:tx>
            <c:v>"Dec 80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Calcs!$AI$38:$AI$44</c:f>
              <c:numCache>
                <c:formatCode>0</c:formatCode>
                <c:ptCount val="7"/>
                <c:pt idx="0">
                  <c:v>348.16567402853667</c:v>
                </c:pt>
                <c:pt idx="1">
                  <c:v>348.22226902276446</c:v>
                </c:pt>
                <c:pt idx="2">
                  <c:v>349.11209536035773</c:v>
                </c:pt>
                <c:pt idx="3">
                  <c:v>350.85073202234543</c:v>
                </c:pt>
                <c:pt idx="4">
                  <c:v>353.37448400416622</c:v>
                </c:pt>
                <c:pt idx="5">
                  <c:v>356.51557228066997</c:v>
                </c:pt>
                <c:pt idx="6" formatCode="General">
                  <c:v>360</c:v>
                </c:pt>
              </c:numCache>
            </c:numRef>
          </c:xVal>
          <c:yVal>
            <c:numRef>
              <c:f>Calcs!$AJ$38:$AJ$44</c:f>
              <c:numCache>
                <c:formatCode>0</c:formatCode>
                <c:ptCount val="7"/>
                <c:pt idx="0">
                  <c:v>32.142909895224342</c:v>
                </c:pt>
                <c:pt idx="1">
                  <c:v>34.739993657072219</c:v>
                </c:pt>
                <c:pt idx="2">
                  <c:v>37.235769204297057</c:v>
                </c:pt>
                <c:pt idx="3">
                  <c:v>39.446698793292988</c:v>
                </c:pt>
                <c:pt idx="4">
                  <c:v>41.191847129464179</c:v>
                </c:pt>
                <c:pt idx="5">
                  <c:v>42.313015982447965</c:v>
                </c:pt>
                <c:pt idx="6">
                  <c:v>42.7</c:v>
                </c:pt>
              </c:numCache>
            </c:numRef>
          </c:yVal>
          <c:smooth val="0"/>
          <c:extLst>
            <c:ext xmlns:c16="http://schemas.microsoft.com/office/drawing/2014/chart" uri="{C3380CC4-5D6E-409C-BE32-E72D297353CC}">
              <c16:uniqueId val="{00000023-52CA-3947-AE36-13E47B2BB36D}"/>
            </c:ext>
          </c:extLst>
        </c:ser>
        <c:ser>
          <c:idx val="13"/>
          <c:order val="13"/>
          <c:tx>
            <c:v>"Dec labels"</c:v>
          </c:tx>
          <c:spPr>
            <a:ln w="25400" cap="rnd">
              <a:noFill/>
              <a:round/>
            </a:ln>
            <a:effectLst/>
          </c:spPr>
          <c:marker>
            <c:symbol val="none"/>
          </c:marker>
          <c:dLbls>
            <c:dLbl>
              <c:idx val="0"/>
              <c:tx>
                <c:rich>
                  <a:bodyPr/>
                  <a:lstStyle/>
                  <a:p>
                    <a:fld id="{20777A1D-2FD4-6245-80E3-559AAAC6F69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52CA-3947-AE36-13E47B2BB36D}"/>
                </c:ext>
              </c:extLst>
            </c:dLbl>
            <c:dLbl>
              <c:idx val="1"/>
              <c:tx>
                <c:rich>
                  <a:bodyPr/>
                  <a:lstStyle/>
                  <a:p>
                    <a:fld id="{07D22B77-1F84-0140-866C-A3B11BB938D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52CA-3947-AE36-13E47B2BB36D}"/>
                </c:ext>
              </c:extLst>
            </c:dLbl>
            <c:dLbl>
              <c:idx val="2"/>
              <c:tx>
                <c:rich>
                  <a:bodyPr/>
                  <a:lstStyle/>
                  <a:p>
                    <a:fld id="{5B53587B-A914-D94A-9B82-F981976C334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52CA-3947-AE36-13E47B2BB36D}"/>
                </c:ext>
              </c:extLst>
            </c:dLbl>
            <c:dLbl>
              <c:idx val="3"/>
              <c:tx>
                <c:rich>
                  <a:bodyPr/>
                  <a:lstStyle/>
                  <a:p>
                    <a:fld id="{8BD9EFA6-C8B9-DA41-9443-DC14DDAF819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52CA-3947-AE36-13E47B2BB36D}"/>
                </c:ext>
              </c:extLst>
            </c:dLbl>
            <c:dLbl>
              <c:idx val="4"/>
              <c:tx>
                <c:rich>
                  <a:bodyPr/>
                  <a:lstStyle/>
                  <a:p>
                    <a:fld id="{ED9AFE07-E189-7841-99F3-9067BBEF937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52CA-3947-AE36-13E47B2BB36D}"/>
                </c:ext>
              </c:extLst>
            </c:dLbl>
            <c:dLbl>
              <c:idx val="5"/>
              <c:tx>
                <c:rich>
                  <a:bodyPr/>
                  <a:lstStyle/>
                  <a:p>
                    <a:fld id="{B20CD9CC-CED0-E440-A160-8821947422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52CA-3947-AE36-13E47B2BB36D}"/>
                </c:ext>
              </c:extLst>
            </c:dLbl>
            <c:dLbl>
              <c:idx val="6"/>
              <c:tx>
                <c:rich>
                  <a:bodyPr/>
                  <a:lstStyle/>
                  <a:p>
                    <a:fld id="{D921C21B-3536-D844-840F-EBE5F088D36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52CA-3947-AE36-13E47B2BB36D}"/>
                </c:ext>
              </c:extLst>
            </c:dLbl>
            <c:dLbl>
              <c:idx val="7"/>
              <c:tx>
                <c:rich>
                  <a:bodyPr/>
                  <a:lstStyle/>
                  <a:p>
                    <a:fld id="{DE75DA4E-E191-1C4C-8E06-BD78F7CC2D7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52CA-3947-AE36-13E47B2BB36D}"/>
                </c:ext>
              </c:extLst>
            </c:dLbl>
            <c:dLbl>
              <c:idx val="8"/>
              <c:tx>
                <c:rich>
                  <a:bodyPr/>
                  <a:lstStyle/>
                  <a:p>
                    <a:fld id="{2476FA40-B15F-464D-9F29-8AE72676849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52CA-3947-AE36-13E47B2BB36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Calcs!$Q$31:$Q$39</c:f>
              <c:numCache>
                <c:formatCode>General</c:formatCode>
                <c:ptCount val="9"/>
                <c:pt idx="0" formatCode="0">
                  <c:v>12</c:v>
                </c:pt>
                <c:pt idx="1">
                  <c:v>34</c:v>
                </c:pt>
                <c:pt idx="2">
                  <c:v>55</c:v>
                </c:pt>
                <c:pt idx="3">
                  <c:v>73</c:v>
                </c:pt>
                <c:pt idx="4">
                  <c:v>91</c:v>
                </c:pt>
                <c:pt idx="5">
                  <c:v>114.5</c:v>
                </c:pt>
                <c:pt idx="6">
                  <c:v>38</c:v>
                </c:pt>
                <c:pt idx="7">
                  <c:v>38</c:v>
                </c:pt>
                <c:pt idx="8">
                  <c:v>310</c:v>
                </c:pt>
              </c:numCache>
            </c:numRef>
          </c:xVal>
          <c:yVal>
            <c:numRef>
              <c:f>Calcs!$R$31:$R$39</c:f>
              <c:numCache>
                <c:formatCode>General</c:formatCode>
                <c:ptCount val="9"/>
                <c:pt idx="0">
                  <c:v>30</c:v>
                </c:pt>
                <c:pt idx="1">
                  <c:v>26</c:v>
                </c:pt>
                <c:pt idx="2">
                  <c:v>18</c:v>
                </c:pt>
                <c:pt idx="3">
                  <c:v>8.5</c:v>
                </c:pt>
                <c:pt idx="4">
                  <c:v>2</c:v>
                </c:pt>
                <c:pt idx="5">
                  <c:v>2</c:v>
                </c:pt>
                <c:pt idx="6">
                  <c:v>16</c:v>
                </c:pt>
                <c:pt idx="7">
                  <c:v>12</c:v>
                </c:pt>
                <c:pt idx="8">
                  <c:v>16</c:v>
                </c:pt>
              </c:numCache>
            </c:numRef>
          </c:yVal>
          <c:smooth val="0"/>
          <c:extLst>
            <c:ext xmlns:c15="http://schemas.microsoft.com/office/drawing/2012/chart" uri="{02D57815-91ED-43cb-92C2-25804820EDAC}">
              <c15:datalabelsRange>
                <c15:f>Calcs!$S$31:$S$39</c15:f>
                <c15:dlblRangeCache>
                  <c:ptCount val="9"/>
                  <c:pt idx="0">
                    <c:v>80</c:v>
                  </c:pt>
                  <c:pt idx="1">
                    <c:v>60</c:v>
                  </c:pt>
                  <c:pt idx="2">
                    <c:v>40</c:v>
                  </c:pt>
                  <c:pt idx="3">
                    <c:v>20</c:v>
                  </c:pt>
                  <c:pt idx="4">
                    <c:v>0</c:v>
                  </c:pt>
                  <c:pt idx="5">
                    <c:v>-20</c:v>
                  </c:pt>
                  <c:pt idx="6">
                    <c:v>HA: -6hr</c:v>
                  </c:pt>
                  <c:pt idx="7">
                    <c:v>Dec: #</c:v>
                  </c:pt>
                  <c:pt idx="8">
                    <c:v>HA: +6hr</c:v>
                  </c:pt>
                </c15:dlblRangeCache>
              </c15:datalabelsRange>
            </c:ext>
            <c:ext xmlns:c16="http://schemas.microsoft.com/office/drawing/2014/chart" uri="{C3380CC4-5D6E-409C-BE32-E72D297353CC}">
              <c16:uniqueId val="{0000002D-52CA-3947-AE36-13E47B2BB36D}"/>
            </c:ext>
          </c:extLst>
        </c:ser>
        <c:ser>
          <c:idx val="14"/>
          <c:order val="14"/>
          <c:tx>
            <c:v>"Instrument"</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3B359D06-5ABC-EA42-8F40-4D0ED3A810F4}" type="CELLRANGE">
                      <a:rPr lang="en-US"/>
                      <a:pPr>
                        <a:defRPr sz="1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52CA-3947-AE36-13E47B2BB3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LUCI!$BO$42</c:f>
              <c:numCache>
                <c:formatCode>General</c:formatCode>
                <c:ptCount val="1"/>
                <c:pt idx="0">
                  <c:v>310</c:v>
                </c:pt>
              </c:numCache>
            </c:numRef>
          </c:xVal>
          <c:yVal>
            <c:numRef>
              <c:f>LUCI!$BP$42</c:f>
              <c:numCache>
                <c:formatCode>General</c:formatCode>
                <c:ptCount val="1"/>
                <c:pt idx="0">
                  <c:v>90</c:v>
                </c:pt>
              </c:numCache>
            </c:numRef>
          </c:yVal>
          <c:smooth val="0"/>
          <c:extLst>
            <c:ext xmlns:c15="http://schemas.microsoft.com/office/drawing/2012/chart" uri="{02D57815-91ED-43cb-92C2-25804820EDAC}">
              <c15:datalabelsRange>
                <c15:f>LUCI!$BQ$42</c15:f>
                <c15:dlblRangeCache>
                  <c:ptCount val="1"/>
                  <c:pt idx="0">
                    <c:v>LUCI, UT=</c:v>
                  </c:pt>
                </c15:dlblRangeCache>
              </c15:datalabelsRange>
            </c:ext>
            <c:ext xmlns:c16="http://schemas.microsoft.com/office/drawing/2014/chart" uri="{C3380CC4-5D6E-409C-BE32-E72D297353CC}">
              <c16:uniqueId val="{0000002F-52CA-3947-AE36-13E47B2BB36D}"/>
            </c:ext>
          </c:extLst>
        </c:ser>
        <c:ser>
          <c:idx val="15"/>
          <c:order val="15"/>
          <c:tx>
            <c:v>"UT"</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1058B6E0-279A-054D-922F-914085EB187A}" type="CELLRANGE">
                      <a:rPr lang="en-US"/>
                      <a:pPr>
                        <a:defRPr sz="1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52CA-3947-AE36-13E47B2BB3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LUCI!$BO$43</c:f>
              <c:numCache>
                <c:formatCode>General</c:formatCode>
                <c:ptCount val="1"/>
                <c:pt idx="0">
                  <c:v>350</c:v>
                </c:pt>
              </c:numCache>
            </c:numRef>
          </c:xVal>
          <c:yVal>
            <c:numRef>
              <c:f>LUCI!$BP$43</c:f>
              <c:numCache>
                <c:formatCode>General</c:formatCode>
                <c:ptCount val="1"/>
                <c:pt idx="0">
                  <c:v>90</c:v>
                </c:pt>
              </c:numCache>
            </c:numRef>
          </c:yVal>
          <c:smooth val="0"/>
          <c:extLst>
            <c:ext xmlns:c15="http://schemas.microsoft.com/office/drawing/2012/chart" uri="{02D57815-91ED-43cb-92C2-25804820EDAC}">
              <c15:datalabelsRange>
                <c15:f>LUCI!$BQ$43</c15:f>
                <c15:dlblRangeCache>
                  <c:ptCount val="1"/>
                  <c:pt idx="0">
                    <c:v>1.58</c:v>
                  </c:pt>
                </c15:dlblRangeCache>
              </c15:datalabelsRange>
            </c:ext>
            <c:ext xmlns:c16="http://schemas.microsoft.com/office/drawing/2014/chart" uri="{C3380CC4-5D6E-409C-BE32-E72D297353CC}">
              <c16:uniqueId val="{00000031-52CA-3947-AE36-13E47B2BB36D}"/>
            </c:ext>
          </c:extLst>
        </c:ser>
        <c:ser>
          <c:idx val="16"/>
          <c:order val="16"/>
          <c:tx>
            <c:v>20-deg</c:v>
          </c:tx>
          <c:spPr>
            <a:ln w="25400" cap="rnd">
              <a:noFill/>
              <a:round/>
            </a:ln>
            <a:effectLst/>
          </c:spPr>
          <c:marker>
            <c:symbol val="circle"/>
            <c:size val="2"/>
            <c:spPr>
              <a:solidFill>
                <a:schemeClr val="bg1"/>
              </a:solidFill>
              <a:ln w="9525">
                <a:solidFill>
                  <a:schemeClr val="bg2">
                    <a:lumMod val="75000"/>
                  </a:schemeClr>
                </a:solidFill>
              </a:ln>
              <a:effectLst/>
            </c:spPr>
          </c:marker>
          <c:errBars>
            <c:errDir val="x"/>
            <c:errBarType val="both"/>
            <c:errValType val="cust"/>
            <c:noEndCap val="0"/>
            <c:plus>
              <c:numRef>
                <c:f>Calcs!$S$43:$S$47</c:f>
                <c:numCache>
                  <c:formatCode>General</c:formatCode>
                  <c:ptCount val="5"/>
                  <c:pt idx="0">
                    <c:v>5.019099187716737</c:v>
                  </c:pt>
                  <c:pt idx="1">
                    <c:v>5.5168895948124588</c:v>
                  </c:pt>
                  <c:pt idx="2">
                    <c:v>7.0710678118654746</c:v>
                  </c:pt>
                  <c:pt idx="3">
                    <c:v>11.831007915762493</c:v>
                  </c:pt>
                  <c:pt idx="4">
                    <c:v>38.306487877701905</c:v>
                  </c:pt>
                </c:numCache>
              </c:numRef>
            </c:plus>
            <c:minus>
              <c:numRef>
                <c:f>Calcs!$S$43:$S$47</c:f>
                <c:numCache>
                  <c:formatCode>General</c:formatCode>
                  <c:ptCount val="5"/>
                  <c:pt idx="0">
                    <c:v>5.019099187716737</c:v>
                  </c:pt>
                  <c:pt idx="1">
                    <c:v>5.5168895948124588</c:v>
                  </c:pt>
                  <c:pt idx="2">
                    <c:v>7.0710678118654746</c:v>
                  </c:pt>
                  <c:pt idx="3">
                    <c:v>11.831007915762493</c:v>
                  </c:pt>
                  <c:pt idx="4">
                    <c:v>38.306487877701905</c:v>
                  </c:pt>
                </c:numCache>
              </c:numRef>
            </c:minus>
            <c:spPr>
              <a:noFill/>
              <a:ln w="9525" cap="flat" cmpd="sng" algn="ctr">
                <a:solidFill>
                  <a:schemeClr val="bg1">
                    <a:lumMod val="65000"/>
                  </a:schemeClr>
                </a:solidFill>
                <a:round/>
              </a:ln>
              <a:effectLst/>
            </c:spPr>
          </c:errBars>
          <c:errBars>
            <c:errDir val="y"/>
            <c:errBarType val="both"/>
            <c:errValType val="cust"/>
            <c:noEndCap val="0"/>
            <c:plus>
              <c:numRef>
                <c:f>Calcs!$T$43:$T$47</c:f>
                <c:numCache>
                  <c:formatCode>General</c:formatCode>
                  <c:ptCount val="5"/>
                  <c:pt idx="0">
                    <c:v>5</c:v>
                  </c:pt>
                  <c:pt idx="1">
                    <c:v>5</c:v>
                  </c:pt>
                  <c:pt idx="2">
                    <c:v>5</c:v>
                  </c:pt>
                  <c:pt idx="3">
                    <c:v>5</c:v>
                  </c:pt>
                  <c:pt idx="4">
                    <c:v>5</c:v>
                  </c:pt>
                </c:numCache>
              </c:numRef>
            </c:plus>
            <c:minus>
              <c:numRef>
                <c:f>Calcs!$T$43:$T$47</c:f>
                <c:numCache>
                  <c:formatCode>General</c:formatCode>
                  <c:ptCount val="5"/>
                  <c:pt idx="0">
                    <c:v>5</c:v>
                  </c:pt>
                  <c:pt idx="1">
                    <c:v>5</c:v>
                  </c:pt>
                  <c:pt idx="2">
                    <c:v>5</c:v>
                  </c:pt>
                  <c:pt idx="3">
                    <c:v>5</c:v>
                  </c:pt>
                  <c:pt idx="4">
                    <c:v>5</c:v>
                  </c:pt>
                </c:numCache>
              </c:numRef>
            </c:minus>
            <c:spPr>
              <a:noFill/>
              <a:ln w="9525" cap="flat" cmpd="sng" algn="ctr">
                <a:solidFill>
                  <a:schemeClr val="bg1">
                    <a:lumMod val="65000"/>
                  </a:schemeClr>
                </a:solidFill>
                <a:round/>
              </a:ln>
              <a:effectLst/>
            </c:spPr>
          </c:errBars>
          <c:xVal>
            <c:numRef>
              <c:f>Calcs!$Q$43:$Q$47</c:f>
              <c:numCache>
                <c:formatCode>General</c:formatCode>
                <c:ptCount val="5"/>
                <c:pt idx="0">
                  <c:v>190</c:v>
                </c:pt>
                <c:pt idx="1">
                  <c:v>190</c:v>
                </c:pt>
                <c:pt idx="2">
                  <c:v>190</c:v>
                </c:pt>
                <c:pt idx="3">
                  <c:v>190</c:v>
                </c:pt>
                <c:pt idx="4">
                  <c:v>190</c:v>
                </c:pt>
              </c:numCache>
            </c:numRef>
          </c:xVal>
          <c:yVal>
            <c:numRef>
              <c:f>Calcs!$R$43:$R$47</c:f>
              <c:numCache>
                <c:formatCode>General</c:formatCode>
                <c:ptCount val="5"/>
                <c:pt idx="0">
                  <c:v>5</c:v>
                </c:pt>
                <c:pt idx="1">
                  <c:v>25</c:v>
                </c:pt>
                <c:pt idx="2">
                  <c:v>45</c:v>
                </c:pt>
                <c:pt idx="3">
                  <c:v>65</c:v>
                </c:pt>
                <c:pt idx="4">
                  <c:v>82.5</c:v>
                </c:pt>
              </c:numCache>
            </c:numRef>
          </c:yVal>
          <c:smooth val="0"/>
          <c:extLst>
            <c:ext xmlns:c16="http://schemas.microsoft.com/office/drawing/2014/chart" uri="{C3380CC4-5D6E-409C-BE32-E72D297353CC}">
              <c16:uniqueId val="{00000032-52CA-3947-AE36-13E47B2BB36D}"/>
            </c:ext>
          </c:extLst>
        </c:ser>
        <c:ser>
          <c:idx val="17"/>
          <c:order val="17"/>
          <c:tx>
            <c:v>10 deg label</c:v>
          </c:tx>
          <c:spPr>
            <a:ln w="25400" cap="rnd">
              <a:noFill/>
              <a:round/>
            </a:ln>
            <a:effectLst/>
          </c:spPr>
          <c:marker>
            <c:symbol val="none"/>
          </c:marker>
          <c:dLbls>
            <c:dLbl>
              <c:idx val="0"/>
              <c:tx>
                <c:rich>
                  <a:bodyPr/>
                  <a:lstStyle/>
                  <a:p>
                    <a:fld id="{D06854C2-5676-254B-88BD-F66460B925C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52CA-3947-AE36-13E47B2BB36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Calcs!$Q$48</c:f>
              <c:numCache>
                <c:formatCode>General</c:formatCode>
                <c:ptCount val="1"/>
                <c:pt idx="0">
                  <c:v>200</c:v>
                </c:pt>
              </c:numCache>
            </c:numRef>
          </c:xVal>
          <c:yVal>
            <c:numRef>
              <c:f>Calcs!$R$48</c:f>
              <c:numCache>
                <c:formatCode>General</c:formatCode>
                <c:ptCount val="1"/>
                <c:pt idx="0">
                  <c:v>7.5</c:v>
                </c:pt>
              </c:numCache>
            </c:numRef>
          </c:yVal>
          <c:smooth val="0"/>
          <c:extLst>
            <c:ext xmlns:c15="http://schemas.microsoft.com/office/drawing/2012/chart" uri="{02D57815-91ED-43cb-92C2-25804820EDAC}">
              <c15:datalabelsRange>
                <c15:f>Calcs!$S$48</c15:f>
                <c15:dlblRangeCache>
                  <c:ptCount val="1"/>
                  <c:pt idx="0">
                    <c:v>10-deg</c:v>
                  </c:pt>
                </c15:dlblRangeCache>
              </c15:datalabelsRange>
            </c:ext>
            <c:ext xmlns:c16="http://schemas.microsoft.com/office/drawing/2014/chart" uri="{C3380CC4-5D6E-409C-BE32-E72D297353CC}">
              <c16:uniqueId val="{00000034-52CA-3947-AE36-13E47B2BB36D}"/>
            </c:ext>
          </c:extLst>
        </c:ser>
        <c:ser>
          <c:idx val="18"/>
          <c:order val="18"/>
          <c:tx>
            <c:v>Date</c:v>
          </c:tx>
          <c:spPr>
            <a:ln w="25400" cap="rnd">
              <a:noFill/>
              <a:round/>
            </a:ln>
            <a:effectLst/>
          </c:spPr>
          <c:marker>
            <c:symbol val="none"/>
          </c:marker>
          <c:dLbls>
            <c:dLbl>
              <c:idx val="0"/>
              <c:tx>
                <c:rich>
                  <a:bodyPr/>
                  <a:lstStyle/>
                  <a:p>
                    <a:fld id="{13A57528-8F49-154B-9317-B651360B76E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20F-B143-A617-A09F7C58E29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Calcs!$S$21</c:f>
              <c:numCache>
                <c:formatCode>General</c:formatCode>
                <c:ptCount val="1"/>
                <c:pt idx="0">
                  <c:v>40</c:v>
                </c:pt>
              </c:numCache>
            </c:numRef>
          </c:xVal>
          <c:yVal>
            <c:numRef>
              <c:f>Calcs!$T$21</c:f>
              <c:numCache>
                <c:formatCode>General</c:formatCode>
                <c:ptCount val="1"/>
                <c:pt idx="0">
                  <c:v>90</c:v>
                </c:pt>
              </c:numCache>
            </c:numRef>
          </c:yVal>
          <c:smooth val="0"/>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920F-B143-A617-A09F7C58E290}"/>
            </c:ext>
          </c:extLst>
        </c:ser>
        <c:dLbls>
          <c:showLegendKey val="0"/>
          <c:showVal val="0"/>
          <c:showCatName val="0"/>
          <c:showSerName val="0"/>
          <c:showPercent val="0"/>
          <c:showBubbleSize val="0"/>
        </c:dLbls>
        <c:axId val="955863904"/>
        <c:axId val="496986544"/>
      </c:scatterChart>
      <c:valAx>
        <c:axId val="955863904"/>
        <c:scaling>
          <c:orientation val="minMax"/>
          <c:max val="36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baseline="0"/>
                  <a:t>N                                        E                                                  S            Azimuth (deg)        W                                       N</a:t>
                </a:r>
                <a:endParaRPr lang="en-US" sz="1400" b="1"/>
              </a:p>
            </c:rich>
          </c:tx>
          <c:layout>
            <c:manualLayout>
              <c:xMode val="edge"/>
              <c:yMode val="edge"/>
              <c:x val="0.13250306742575427"/>
              <c:y val="0.92373325545889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6986544"/>
        <c:crosses val="autoZero"/>
        <c:crossBetween val="midCat"/>
        <c:majorUnit val="20"/>
      </c:valAx>
      <c:valAx>
        <c:axId val="496986544"/>
        <c:scaling>
          <c:orientation val="minMax"/>
          <c:max val="9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Altitude (deg)</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5863904"/>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100000">
          <a:schemeClr val="accent2">
            <a:lumMod val="30000"/>
            <a:lumOff val="70000"/>
          </a:schemeClr>
        </a:gs>
      </a:gsLst>
      <a:lin ang="27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Altitude through</a:t>
            </a:r>
            <a:r>
              <a:rPr lang="en-US" sz="1600" b="1" baseline="0"/>
              <a:t> the night</a:t>
            </a:r>
            <a:endParaRPr lang="en-US" sz="1600" b="1"/>
          </a:p>
        </c:rich>
      </c:tx>
      <c:layout>
        <c:manualLayout>
          <c:xMode val="edge"/>
          <c:yMode val="edge"/>
          <c:x val="0.36643377715889958"/>
          <c:y val="2.8316192767828707E-2"/>
        </c:manualLayout>
      </c:layout>
      <c:overlay val="0"/>
      <c:spPr>
        <a:noFill/>
        <a:ln>
          <a:noFill/>
        </a:ln>
        <a:effectLst/>
      </c:spPr>
    </c:title>
    <c:autoTitleDeleted val="0"/>
    <c:plotArea>
      <c:layout/>
      <c:scatterChart>
        <c:scatterStyle val="smoothMarker"/>
        <c:varyColors val="0"/>
        <c:ser>
          <c:idx val="17"/>
          <c:order val="0"/>
          <c:tx>
            <c:v>Moon</c:v>
          </c:tx>
          <c:spPr>
            <a:ln w="9525" cap="rnd">
              <a:solidFill>
                <a:schemeClr val="tx1"/>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LUCI!$AZ$5:$AZ$37</c:f>
              <c:numCache>
                <c:formatCode>0</c:formatCode>
                <c:ptCount val="33"/>
                <c:pt idx="0">
                  <c:v>15.857360496757829</c:v>
                </c:pt>
                <c:pt idx="1">
                  <c:v>10.217680608668887</c:v>
                </c:pt>
                <c:pt idx="2">
                  <c:v>4.3719928023574637</c:v>
                </c:pt>
                <c:pt idx="3">
                  <c:v>-1.6329306079357193</c:v>
                </c:pt>
                <c:pt idx="4">
                  <c:v>-7.7587954851544456</c:v>
                </c:pt>
                <c:pt idx="5">
                  <c:v>-13.973118424042072</c:v>
                </c:pt>
                <c:pt idx="6">
                  <c:v>-20.2468407919676</c:v>
                </c:pt>
                <c:pt idx="7">
                  <c:v>-26.551971561349109</c:v>
                </c:pt>
                <c:pt idx="8">
                  <c:v>-32.858876431809172</c:v>
                </c:pt>
                <c:pt idx="9">
                  <c:v>-39.132585589290542</c:v>
                </c:pt>
                <c:pt idx="10">
                  <c:v>-45.326971744722989</c:v>
                </c:pt>
                <c:pt idx="11">
                  <c:v>-51.374523143676782</c:v>
                </c:pt>
                <c:pt idx="12">
                  <c:v>-57.167038369940038</c:v>
                </c:pt>
                <c:pt idx="13">
                  <c:v>-62.518059504067331</c:v>
                </c:pt>
                <c:pt idx="14">
                  <c:v>-67.094051739215317</c:v>
                </c:pt>
                <c:pt idx="15">
                  <c:v>-70.328700754037143</c:v>
                </c:pt>
                <c:pt idx="16">
                  <c:v>-71.493655838546616</c:v>
                </c:pt>
                <c:pt idx="17">
                  <c:v>-70.216608924255567</c:v>
                </c:pt>
                <c:pt idx="18">
                  <c:v>-66.902056263995831</c:v>
                </c:pt>
                <c:pt idx="19">
                  <c:v>-62.278637111804599</c:v>
                </c:pt>
                <c:pt idx="20">
                  <c:v>-56.900681184640575</c:v>
                </c:pt>
                <c:pt idx="21">
                  <c:v>-51.092698537767014</c:v>
                </c:pt>
                <c:pt idx="22">
                  <c:v>-45.03617572231542</c:v>
                </c:pt>
                <c:pt idx="23">
                  <c:v>-38.836731401420941</c:v>
                </c:pt>
                <c:pt idx="24">
                  <c:v>-32.560526477767652</c:v>
                </c:pt>
                <c:pt idx="25">
                  <c:v>-26.252976378463654</c:v>
                </c:pt>
                <c:pt idx="26">
                  <c:v>-19.948689835251908</c:v>
                </c:pt>
                <c:pt idx="27">
                  <c:v>-13.677150992021119</c:v>
                </c:pt>
                <c:pt idx="28">
                  <c:v>-7.4663449551510865</c:v>
                </c:pt>
                <c:pt idx="29">
                  <c:v>-1.3454404045085029</c:v>
                </c:pt>
                <c:pt idx="30">
                  <c:v>4.652859215761362</c:v>
                </c:pt>
                <c:pt idx="31">
                  <c:v>10.489921292141169</c:v>
                </c:pt>
                <c:pt idx="32">
                  <c:v>16.118498732643513</c:v>
                </c:pt>
              </c:numCache>
            </c:numRef>
          </c:yVal>
          <c:smooth val="1"/>
          <c:extLst>
            <c:ext xmlns:c16="http://schemas.microsoft.com/office/drawing/2014/chart" uri="{C3380CC4-5D6E-409C-BE32-E72D297353CC}">
              <c16:uniqueId val="{00000000-AD9F-9C41-B707-75C76EB144B4}"/>
            </c:ext>
          </c:extLst>
        </c:ser>
        <c:ser>
          <c:idx val="0"/>
          <c:order val="1"/>
          <c:tx>
            <c:strRef>
              <c:f>LUCI!$W$5</c:f>
              <c:strCache>
                <c:ptCount val="1"/>
                <c:pt idx="0">
                  <c:v>J2229</c:v>
                </c:pt>
              </c:strCache>
            </c:strRef>
          </c:tx>
          <c:spPr>
            <a:ln w="9525" cap="rnd">
              <a:solidFill>
                <a:srgbClr val="FF0000"/>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LUCI!$BA$5:$BA$37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1-AD9F-9C41-B707-75C76EB144B4}"/>
            </c:ext>
          </c:extLst>
        </c:ser>
        <c:ser>
          <c:idx val="1"/>
          <c:order val="2"/>
          <c:tx>
            <c:strRef>
              <c:f>LUCI!$W$6</c:f>
              <c:strCache>
                <c:ptCount val="1"/>
              </c:strCache>
            </c:strRef>
          </c:tx>
          <c:spPr>
            <a:ln w="9525" cap="rnd">
              <a:solidFill>
                <a:srgbClr val="FF0000"/>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LUCI!$BB$5:$BB$37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2-AD9F-9C41-B707-75C76EB144B4}"/>
            </c:ext>
          </c:extLst>
        </c:ser>
        <c:ser>
          <c:idx val="2"/>
          <c:order val="3"/>
          <c:tx>
            <c:strRef>
              <c:f>LUCI!$W$7</c:f>
              <c:strCache>
                <c:ptCount val="1"/>
                <c:pt idx="0">
                  <c:v>J0042</c:v>
                </c:pt>
              </c:strCache>
            </c:strRef>
          </c:tx>
          <c:spPr>
            <a:ln w="9525" cap="rnd">
              <a:solidFill>
                <a:srgbClr val="FF0000"/>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LUCI!$BC$5:$BC$37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3-AD9F-9C41-B707-75C76EB144B4}"/>
            </c:ext>
          </c:extLst>
        </c:ser>
        <c:ser>
          <c:idx val="3"/>
          <c:order val="4"/>
          <c:tx>
            <c:strRef>
              <c:f>LUCI!$W$8</c:f>
              <c:strCache>
                <c:ptCount val="1"/>
                <c:pt idx="0">
                  <c:v>J0158</c:v>
                </c:pt>
              </c:strCache>
            </c:strRef>
          </c:tx>
          <c:spPr>
            <a:ln w="9525" cap="rnd">
              <a:solidFill>
                <a:srgbClr val="0070C0"/>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LUCI!$BD$5:$BD$37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4-AD9F-9C41-B707-75C76EB144B4}"/>
            </c:ext>
          </c:extLst>
        </c:ser>
        <c:ser>
          <c:idx val="4"/>
          <c:order val="5"/>
          <c:tx>
            <c:strRef>
              <c:f>LUCI!$W$9</c:f>
              <c:strCache>
                <c:ptCount val="1"/>
                <c:pt idx="0">
                  <c:v>J0224</c:v>
                </c:pt>
              </c:strCache>
            </c:strRef>
          </c:tx>
          <c:spPr>
            <a:ln w="9525" cap="rnd">
              <a:solidFill>
                <a:srgbClr val="00B050"/>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LUCI!$BE$5:$BE$37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5-AD9F-9C41-B707-75C76EB144B4}"/>
            </c:ext>
          </c:extLst>
        </c:ser>
        <c:ser>
          <c:idx val="18"/>
          <c:order val="6"/>
          <c:tx>
            <c:strRef>
              <c:f>LUCI!$W$10</c:f>
              <c:strCache>
                <c:ptCount val="1"/>
                <c:pt idx="0">
                  <c:v>J2031</c:v>
                </c:pt>
              </c:strCache>
            </c:strRef>
          </c:tx>
          <c:spPr>
            <a:ln w="9525" cap="rnd">
              <a:solidFill>
                <a:schemeClr val="accent1">
                  <a:lumMod val="8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LUCI!$BF$5:$BF$37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6-AD9F-9C41-B707-75C76EB144B4}"/>
            </c:ext>
          </c:extLst>
        </c:ser>
        <c:ser>
          <c:idx val="20"/>
          <c:order val="7"/>
          <c:tx>
            <c:strRef>
              <c:f>LUCI!$W$11</c:f>
              <c:strCache>
                <c:ptCount val="1"/>
              </c:strCache>
            </c:strRef>
          </c:tx>
          <c:spPr>
            <a:ln w="9525" cap="rnd">
              <a:solidFill>
                <a:srgbClr val="0070C0"/>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LUCI!$BG$5:$BG$37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7-AD9F-9C41-B707-75C76EB144B4}"/>
            </c:ext>
          </c:extLst>
        </c:ser>
        <c:ser>
          <c:idx val="21"/>
          <c:order val="8"/>
          <c:tx>
            <c:strRef>
              <c:f>LUCI!$W$12</c:f>
              <c:strCache>
                <c:ptCount val="1"/>
                <c:pt idx="0">
                  <c:v>Uranus</c:v>
                </c:pt>
              </c:strCache>
            </c:strRef>
          </c:tx>
          <c:spPr>
            <a:ln w="9525" cap="rnd">
              <a:solidFill>
                <a:schemeClr val="accent4">
                  <a:lumMod val="8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LUCI!$BH$5:$BH$37</c:f>
              <c:numCache>
                <c:formatCode>0</c:formatCode>
                <c:ptCount val="33"/>
                <c:pt idx="0">
                  <c:v>67.058242945246946</c:v>
                </c:pt>
                <c:pt idx="1">
                  <c:v>71.917159971126168</c:v>
                </c:pt>
                <c:pt idx="2">
                  <c:v>75.24404146910814</c:v>
                </c:pt>
                <c:pt idx="3">
                  <c:v>75.895513587753953</c:v>
                </c:pt>
                <c:pt idx="4">
                  <c:v>73.54868003281058</c:v>
                </c:pt>
                <c:pt idx="5">
                  <c:v>69.20027681342151</c:v>
                </c:pt>
                <c:pt idx="6">
                  <c:v>63.840166798434886</c:v>
                </c:pt>
                <c:pt idx="7">
                  <c:v>57.986048423216047</c:v>
                </c:pt>
                <c:pt idx="8">
                  <c:v>51.88105999474093</c:v>
                </c:pt>
                <c:pt idx="9">
                  <c:v>45.647340182983797</c:v>
                </c:pt>
                <c:pt idx="10">
                  <c:v>39.353566222841593</c:v>
                </c:pt>
                <c:pt idx="11">
                  <c:v>33.04357003992741</c:v>
                </c:pt>
                <c:pt idx="12">
                  <c:v>26.749336877499871</c:v>
                </c:pt>
                <c:pt idx="13">
                  <c:v>20.497540581866801</c:v>
                </c:pt>
                <c:pt idx="14">
                  <c:v>14.313274817066016</c:v>
                </c:pt>
                <c:pt idx="15">
                  <c:v>8.2225532867688393</c:v>
                </c:pt>
                <c:pt idx="16">
                  <c:v>2.2543215538919164</c:v>
                </c:pt>
                <c:pt idx="17">
                  <c:v>-3.5576300327985666</c:v>
                </c:pt>
                <c:pt idx="18">
                  <c:v>-9.1726318111045799</c:v>
                </c:pt>
                <c:pt idx="19">
                  <c:v>-14.540871278568432</c:v>
                </c:pt>
                <c:pt idx="20">
                  <c:v>-19.600929168516796</c:v>
                </c:pt>
                <c:pt idx="21">
                  <c:v>-24.277377764412812</c:v>
                </c:pt>
                <c:pt idx="22">
                  <c:v>-28.479115985863267</c:v>
                </c:pt>
                <c:pt idx="23">
                  <c:v>-32.099742003443261</c:v>
                </c:pt>
                <c:pt idx="24">
                  <c:v>-35.021941002672513</c:v>
                </c:pt>
                <c:pt idx="25">
                  <c:v>-37.127968501167501</c:v>
                </c:pt>
                <c:pt idx="26">
                  <c:v>-38.31671652867054</c:v>
                </c:pt>
                <c:pt idx="27">
                  <c:v>-38.523930492810926</c:v>
                </c:pt>
                <c:pt idx="28">
                  <c:v>-37.73782215539228</c:v>
                </c:pt>
                <c:pt idx="29">
                  <c:v>-36.002171004250194</c:v>
                </c:pt>
                <c:pt idx="30">
                  <c:v>-33.405177484651318</c:v>
                </c:pt>
                <c:pt idx="31">
                  <c:v>-30.060061186139531</c:v>
                </c:pt>
                <c:pt idx="32">
                  <c:v>-26.085986953495851</c:v>
                </c:pt>
              </c:numCache>
            </c:numRef>
          </c:yVal>
          <c:smooth val="1"/>
          <c:extLst>
            <c:ext xmlns:c16="http://schemas.microsoft.com/office/drawing/2014/chart" uri="{C3380CC4-5D6E-409C-BE32-E72D297353CC}">
              <c16:uniqueId val="{00000008-AD9F-9C41-B707-75C76EB144B4}"/>
            </c:ext>
          </c:extLst>
        </c:ser>
        <c:ser>
          <c:idx val="22"/>
          <c:order val="9"/>
          <c:tx>
            <c:strRef>
              <c:f>LUCI!$W$13</c:f>
              <c:strCache>
                <c:ptCount val="1"/>
              </c:strCache>
            </c:strRef>
          </c:tx>
          <c:spPr>
            <a:ln w="12700" cap="rnd">
              <a:solidFill>
                <a:srgbClr val="FF0000"/>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LUCI!$BI$5:$BI$37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9-AD9F-9C41-B707-75C76EB144B4}"/>
            </c:ext>
          </c:extLst>
        </c:ser>
        <c:ser>
          <c:idx val="23"/>
          <c:order val="10"/>
          <c:tx>
            <c:strRef>
              <c:f>LUCI!$W$14</c:f>
              <c:strCache>
                <c:ptCount val="1"/>
              </c:strCache>
            </c:strRef>
          </c:tx>
          <c:spPr>
            <a:ln w="12700" cap="rnd">
              <a:solidFill>
                <a:srgbClr val="00B050"/>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LUCI!$BJ$5:$BJ$37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A-AD9F-9C41-B707-75C76EB144B4}"/>
            </c:ext>
          </c:extLst>
        </c:ser>
        <c:ser>
          <c:idx val="24"/>
          <c:order val="11"/>
          <c:tx>
            <c:strRef>
              <c:f>LUCI!$W$15</c:f>
              <c:strCache>
                <c:ptCount val="1"/>
              </c:strCache>
            </c:strRef>
          </c:tx>
          <c:spPr>
            <a:ln w="19050" cap="rnd">
              <a:solidFill>
                <a:schemeClr val="accent1">
                  <a:lumMod val="60000"/>
                  <a:lumOff val="4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LUCI!$BK$5:$BK$37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B-AD9F-9C41-B707-75C76EB144B4}"/>
            </c:ext>
          </c:extLst>
        </c:ser>
        <c:ser>
          <c:idx val="25"/>
          <c:order val="12"/>
          <c:tx>
            <c:strRef>
              <c:f>LUCI!$W$16</c:f>
              <c:strCache>
                <c:ptCount val="1"/>
              </c:strCache>
            </c:strRef>
          </c:tx>
          <c:spPr>
            <a:ln w="19050" cap="rnd">
              <a:solidFill>
                <a:schemeClr val="accent2">
                  <a:lumMod val="60000"/>
                  <a:lumOff val="4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LUCI!$BL$5:$BL$37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C-AD9F-9C41-B707-75C76EB144B4}"/>
            </c:ext>
          </c:extLst>
        </c:ser>
        <c:ser>
          <c:idx val="26"/>
          <c:order val="13"/>
          <c:tx>
            <c:strRef>
              <c:f>LUCI!$W$17</c:f>
              <c:strCache>
                <c:ptCount val="1"/>
              </c:strCache>
            </c:strRef>
          </c:tx>
          <c:spPr>
            <a:ln w="19050" cap="rnd">
              <a:solidFill>
                <a:schemeClr val="accent3">
                  <a:lumMod val="60000"/>
                  <a:lumOff val="4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LUCI!$BM$5:$BM$37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D-AD9F-9C41-B707-75C76EB144B4}"/>
            </c:ext>
          </c:extLst>
        </c:ser>
        <c:ser>
          <c:idx val="27"/>
          <c:order val="14"/>
          <c:tx>
            <c:strRef>
              <c:f>LUCI!$W$18</c:f>
              <c:strCache>
                <c:ptCount val="1"/>
              </c:strCache>
            </c:strRef>
          </c:tx>
          <c:spPr>
            <a:ln w="19050" cap="rnd">
              <a:solidFill>
                <a:schemeClr val="accent4">
                  <a:lumMod val="60000"/>
                  <a:lumOff val="4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LUCI!$BN$5:$BN$37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E-AD9F-9C41-B707-75C76EB144B4}"/>
            </c:ext>
          </c:extLst>
        </c:ser>
        <c:ser>
          <c:idx val="28"/>
          <c:order val="15"/>
          <c:tx>
            <c:strRef>
              <c:f>LUCI!$W$19</c:f>
              <c:strCache>
                <c:ptCount val="1"/>
              </c:strCache>
            </c:strRef>
          </c:tx>
          <c:spPr>
            <a:ln w="19050" cap="rnd">
              <a:solidFill>
                <a:schemeClr val="accent5">
                  <a:lumMod val="60000"/>
                  <a:lumOff val="4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LUCI!$BO$5:$BO$37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F-AD9F-9C41-B707-75C76EB144B4}"/>
            </c:ext>
          </c:extLst>
        </c:ser>
        <c:ser>
          <c:idx val="29"/>
          <c:order val="16"/>
          <c:tx>
            <c:strRef>
              <c:f>LUCI!$W$20</c:f>
              <c:strCache>
                <c:ptCount val="1"/>
              </c:strCache>
            </c:strRef>
          </c:tx>
          <c:spPr>
            <a:ln w="19050" cap="rnd">
              <a:solidFill>
                <a:schemeClr val="accent6">
                  <a:lumMod val="60000"/>
                  <a:lumOff val="4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LUCI!$BP$5:$BP$37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0-AD9F-9C41-B707-75C76EB144B4}"/>
            </c:ext>
          </c:extLst>
        </c:ser>
        <c:ser>
          <c:idx val="30"/>
          <c:order val="17"/>
          <c:tx>
            <c:strRef>
              <c:f>LUCI!$W$21</c:f>
              <c:strCache>
                <c:ptCount val="1"/>
              </c:strCache>
            </c:strRef>
          </c:tx>
          <c:spPr>
            <a:ln w="19050" cap="rnd">
              <a:solidFill>
                <a:schemeClr val="accent1">
                  <a:lumMod val="5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LUCI!$BQ$5:$BQ$37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1-AD9F-9C41-B707-75C76EB144B4}"/>
            </c:ext>
          </c:extLst>
        </c:ser>
        <c:ser>
          <c:idx val="31"/>
          <c:order val="18"/>
          <c:tx>
            <c:strRef>
              <c:f>LUCI!$W$22</c:f>
              <c:strCache>
                <c:ptCount val="1"/>
              </c:strCache>
            </c:strRef>
          </c:tx>
          <c:spPr>
            <a:ln w="19050" cap="rnd">
              <a:solidFill>
                <a:schemeClr val="accent2">
                  <a:lumMod val="5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LUCI!$BR$5:$BR$37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2-AD9F-9C41-B707-75C76EB144B4}"/>
            </c:ext>
          </c:extLst>
        </c:ser>
        <c:ser>
          <c:idx val="32"/>
          <c:order val="19"/>
          <c:tx>
            <c:strRef>
              <c:f>LUCI!$W$23</c:f>
              <c:strCache>
                <c:ptCount val="1"/>
              </c:strCache>
            </c:strRef>
          </c:tx>
          <c:spPr>
            <a:ln w="19050" cap="rnd">
              <a:solidFill>
                <a:schemeClr val="accent3">
                  <a:lumMod val="5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LUCI!$BS$5:$BS$37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3-AD9F-9C41-B707-75C76EB144B4}"/>
            </c:ext>
          </c:extLst>
        </c:ser>
        <c:ser>
          <c:idx val="33"/>
          <c:order val="20"/>
          <c:tx>
            <c:strRef>
              <c:f>LUCI!$W$24</c:f>
              <c:strCache>
                <c:ptCount val="1"/>
              </c:strCache>
            </c:strRef>
          </c:tx>
          <c:spPr>
            <a:ln w="19050" cap="rnd">
              <a:solidFill>
                <a:schemeClr val="accent4">
                  <a:lumMod val="50000"/>
                </a:schemeClr>
              </a:solidFill>
              <a:round/>
            </a:ln>
            <a:effectLst/>
          </c:spPr>
          <c:marker>
            <c:symbol val="none"/>
          </c:marker>
          <c:xVal>
            <c:numRef>
              <c:f>LUCI!$AY$5:$AY$37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LUCI!$BT$5:$BT$37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4-AD9F-9C41-B707-75C76EB144B4}"/>
            </c:ext>
          </c:extLst>
        </c:ser>
        <c:ser>
          <c:idx val="5"/>
          <c:order val="21"/>
          <c:tx>
            <c:v>"sunset"</c:v>
          </c:tx>
          <c:spPr>
            <a:ln w="12700" cap="rnd">
              <a:solidFill>
                <a:srgbClr val="0070C0"/>
              </a:solidFill>
              <a:prstDash val="dash"/>
              <a:round/>
            </a:ln>
            <a:effectLst/>
          </c:spPr>
          <c:marker>
            <c:symbol val="none"/>
          </c:marker>
          <c:dLbls>
            <c:dLbl>
              <c:idx val="0"/>
              <c:tx>
                <c:rich>
                  <a:bodyPr/>
                  <a:lstStyle/>
                  <a:p>
                    <a:fld id="{72DEF564-AEC2-8943-9335-332CD1F17E9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D9F-9C41-B707-75C76EB144B4}"/>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AD9F-9C41-B707-75C76EB144B4}"/>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Calcs!$M$38:$M$39</c:f>
              <c:numCache>
                <c:formatCode>0.00</c:formatCode>
                <c:ptCount val="2"/>
                <c:pt idx="0">
                  <c:v>1.2477250083649842</c:v>
                </c:pt>
                <c:pt idx="1">
                  <c:v>1.2477250083649842</c:v>
                </c:pt>
              </c:numCache>
            </c:numRef>
          </c:xVal>
          <c:yVal>
            <c:numRef>
              <c:f>Calcs!$N$38:$N$39</c:f>
              <c:numCache>
                <c:formatCode>General</c:formatCode>
                <c:ptCount val="2"/>
                <c:pt idx="0">
                  <c:v>0</c:v>
                </c:pt>
                <c:pt idx="1">
                  <c:v>90</c:v>
                </c:pt>
              </c:numCache>
            </c:numRef>
          </c:yVal>
          <c:smooth val="1"/>
          <c:extLst>
            <c:ext xmlns:c15="http://schemas.microsoft.com/office/drawing/2012/chart" uri="{02D57815-91ED-43cb-92C2-25804820EDAC}">
              <c15:datalabelsRange>
                <c15:f>Calcs!$O$38</c15:f>
                <c15:dlblRangeCache>
                  <c:ptCount val="1"/>
                  <c:pt idx="0">
                    <c:v>sunset</c:v>
                  </c:pt>
                </c15:dlblRangeCache>
              </c15:datalabelsRange>
            </c:ext>
            <c:ext xmlns:c16="http://schemas.microsoft.com/office/drawing/2014/chart" uri="{C3380CC4-5D6E-409C-BE32-E72D297353CC}">
              <c16:uniqueId val="{00000017-AD9F-9C41-B707-75C76EB144B4}"/>
            </c:ext>
          </c:extLst>
        </c:ser>
        <c:ser>
          <c:idx val="6"/>
          <c:order val="22"/>
          <c:tx>
            <c:v>"30 deg limits"</c:v>
          </c:tx>
          <c:spPr>
            <a:ln w="12700"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Calcs!$N$30:$N$31</c:f>
              <c:numCache>
                <c:formatCode>General</c:formatCode>
                <c:ptCount val="2"/>
                <c:pt idx="0">
                  <c:v>30</c:v>
                </c:pt>
                <c:pt idx="1">
                  <c:v>30</c:v>
                </c:pt>
              </c:numCache>
            </c:numRef>
          </c:yVal>
          <c:smooth val="1"/>
          <c:extLst>
            <c:ext xmlns:c16="http://schemas.microsoft.com/office/drawing/2014/chart" uri="{C3380CC4-5D6E-409C-BE32-E72D297353CC}">
              <c16:uniqueId val="{00000018-AD9F-9C41-B707-75C76EB144B4}"/>
            </c:ext>
          </c:extLst>
        </c:ser>
        <c:ser>
          <c:idx val="7"/>
          <c:order val="23"/>
          <c:tx>
            <c:v>"86 deg limits"</c:v>
          </c:tx>
          <c:spPr>
            <a:ln w="12700"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Calcs!$O$30:$O$31</c:f>
              <c:numCache>
                <c:formatCode>General</c:formatCode>
                <c:ptCount val="2"/>
                <c:pt idx="0">
                  <c:v>86</c:v>
                </c:pt>
                <c:pt idx="1">
                  <c:v>86</c:v>
                </c:pt>
              </c:numCache>
            </c:numRef>
          </c:yVal>
          <c:smooth val="1"/>
          <c:extLst>
            <c:ext xmlns:c16="http://schemas.microsoft.com/office/drawing/2014/chart" uri="{C3380CC4-5D6E-409C-BE32-E72D297353CC}">
              <c16:uniqueId val="{00000019-AD9F-9C41-B707-75C76EB144B4}"/>
            </c:ext>
          </c:extLst>
        </c:ser>
        <c:ser>
          <c:idx val="8"/>
          <c:order val="24"/>
          <c:tx>
            <c:v>"sunrise"</c:v>
          </c:tx>
          <c:spPr>
            <a:ln w="12700" cap="rnd">
              <a:solidFill>
                <a:schemeClr val="accent4">
                  <a:lumMod val="50000"/>
                </a:schemeClr>
              </a:solidFill>
              <a:prstDash val="dash"/>
              <a:round/>
            </a:ln>
            <a:effectLst/>
          </c:spPr>
          <c:marker>
            <c:symbol val="none"/>
          </c:marker>
          <c:dLbls>
            <c:dLbl>
              <c:idx val="0"/>
              <c:tx>
                <c:rich>
                  <a:bodyPr/>
                  <a:lstStyle/>
                  <a:p>
                    <a:fld id="{9FA434BA-55F4-2C48-84AB-B3388A3E457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D9F-9C41-B707-75C76EB144B4}"/>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AD9F-9C41-B707-75C76EB144B4}"/>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Calcs!$M$40:$M$41</c:f>
              <c:numCache>
                <c:formatCode>0.00</c:formatCode>
                <c:ptCount val="2"/>
                <c:pt idx="0">
                  <c:v>13.82857454377158</c:v>
                </c:pt>
                <c:pt idx="1">
                  <c:v>13.82857454377158</c:v>
                </c:pt>
              </c:numCache>
            </c:numRef>
          </c:xVal>
          <c:yVal>
            <c:numRef>
              <c:f>Calcs!$N$40:$N$41</c:f>
              <c:numCache>
                <c:formatCode>General</c:formatCode>
                <c:ptCount val="2"/>
                <c:pt idx="0">
                  <c:v>0</c:v>
                </c:pt>
                <c:pt idx="1">
                  <c:v>90</c:v>
                </c:pt>
              </c:numCache>
            </c:numRef>
          </c:yVal>
          <c:smooth val="1"/>
          <c:extLst>
            <c:ext xmlns:c15="http://schemas.microsoft.com/office/drawing/2012/chart" uri="{02D57815-91ED-43cb-92C2-25804820EDAC}">
              <c15:datalabelsRange>
                <c15:f>Calcs!$O$40</c15:f>
                <c15:dlblRangeCache>
                  <c:ptCount val="1"/>
                  <c:pt idx="0">
                    <c:v>sunrise</c:v>
                  </c:pt>
                </c15:dlblRangeCache>
              </c15:datalabelsRange>
            </c:ext>
            <c:ext xmlns:c16="http://schemas.microsoft.com/office/drawing/2014/chart" uri="{C3380CC4-5D6E-409C-BE32-E72D297353CC}">
              <c16:uniqueId val="{0000001C-AD9F-9C41-B707-75C76EB144B4}"/>
            </c:ext>
          </c:extLst>
        </c:ser>
        <c:ser>
          <c:idx val="9"/>
          <c:order val="25"/>
          <c:tx>
            <c:v>"midnight"</c:v>
          </c:tx>
          <c:spPr>
            <a:ln w="12700" cap="rnd">
              <a:solidFill>
                <a:srgbClr val="0070C0"/>
              </a:solidFill>
              <a:prstDash val="dash"/>
              <a:round/>
            </a:ln>
            <a:effectLst/>
          </c:spPr>
          <c:marker>
            <c:symbol val="none"/>
          </c:marker>
          <c:dLbls>
            <c:dLbl>
              <c:idx val="0"/>
              <c:tx>
                <c:rich>
                  <a:bodyPr/>
                  <a:lstStyle/>
                  <a:p>
                    <a:fld id="{BA1265F4-F86C-CC44-8B26-EC92AF2E0C8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AD9F-9C41-B707-75C76EB144B4}"/>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AD9F-9C41-B707-75C76EB144B4}"/>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Calcs!$M$36:$M$37</c:f>
              <c:numCache>
                <c:formatCode>0.00</c:formatCode>
                <c:ptCount val="2"/>
                <c:pt idx="0">
                  <c:v>7.5381497760682823</c:v>
                </c:pt>
                <c:pt idx="1">
                  <c:v>7.5381497760682823</c:v>
                </c:pt>
              </c:numCache>
            </c:numRef>
          </c:xVal>
          <c:yVal>
            <c:numRef>
              <c:f>Calcs!$N$36:$N$37</c:f>
              <c:numCache>
                <c:formatCode>General</c:formatCode>
                <c:ptCount val="2"/>
                <c:pt idx="0">
                  <c:v>0</c:v>
                </c:pt>
                <c:pt idx="1">
                  <c:v>20</c:v>
                </c:pt>
              </c:numCache>
            </c:numRef>
          </c:yVal>
          <c:smooth val="1"/>
          <c:extLst>
            <c:ext xmlns:c15="http://schemas.microsoft.com/office/drawing/2012/chart" uri="{02D57815-91ED-43cb-92C2-25804820EDAC}">
              <c15:datalabelsRange>
                <c15:f>Calcs!$O$36</c15:f>
                <c15:dlblRangeCache>
                  <c:ptCount val="1"/>
                  <c:pt idx="0">
                    <c:v>midnight</c:v>
                  </c:pt>
                </c15:dlblRangeCache>
              </c15:datalabelsRange>
            </c:ext>
            <c:ext xmlns:c16="http://schemas.microsoft.com/office/drawing/2014/chart" uri="{C3380CC4-5D6E-409C-BE32-E72D297353CC}">
              <c16:uniqueId val="{0000001F-AD9F-9C41-B707-75C76EB144B4}"/>
            </c:ext>
          </c:extLst>
        </c:ser>
        <c:ser>
          <c:idx val="10"/>
          <c:order val="26"/>
          <c:tx>
            <c:v>"18-deg"</c:v>
          </c:tx>
          <c:spPr>
            <a:ln w="12700" cap="rnd">
              <a:solidFill>
                <a:srgbClr val="0070C0"/>
              </a:solidFill>
              <a:prstDash val="dash"/>
              <a:round/>
            </a:ln>
            <a:effectLst/>
          </c:spPr>
          <c:marker>
            <c:symbol val="none"/>
          </c:marker>
          <c:dLbls>
            <c:dLbl>
              <c:idx val="0"/>
              <c:tx>
                <c:rich>
                  <a:bodyPr/>
                  <a:lstStyle/>
                  <a:p>
                    <a:fld id="{D6927616-4047-3B43-8ABA-3AD80959F25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AD9F-9C41-B707-75C76EB144B4}"/>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AD9F-9C41-B707-75C76EB144B4}"/>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Calcs!$M$42:$M$43</c:f>
              <c:numCache>
                <c:formatCode>0.00</c:formatCode>
                <c:ptCount val="2"/>
                <c:pt idx="0">
                  <c:v>2.6108095362183414</c:v>
                </c:pt>
                <c:pt idx="1">
                  <c:v>2.6108095362183414</c:v>
                </c:pt>
              </c:numCache>
            </c:numRef>
          </c:xVal>
          <c:yVal>
            <c:numRef>
              <c:f>Calcs!$N$42:$N$43</c:f>
              <c:numCache>
                <c:formatCode>General</c:formatCode>
                <c:ptCount val="2"/>
                <c:pt idx="0">
                  <c:v>0</c:v>
                </c:pt>
                <c:pt idx="1">
                  <c:v>90</c:v>
                </c:pt>
              </c:numCache>
            </c:numRef>
          </c:yVal>
          <c:smooth val="1"/>
          <c:extLst>
            <c:ext xmlns:c15="http://schemas.microsoft.com/office/drawing/2012/chart" uri="{02D57815-91ED-43cb-92C2-25804820EDAC}">
              <c15:datalabelsRange>
                <c15:f>Calcs!$O$42</c15:f>
                <c15:dlblRangeCache>
                  <c:ptCount val="1"/>
                  <c:pt idx="0">
                    <c:v>18</c:v>
                  </c:pt>
                </c15:dlblRangeCache>
              </c15:datalabelsRange>
            </c:ext>
            <c:ext xmlns:c16="http://schemas.microsoft.com/office/drawing/2014/chart" uri="{C3380CC4-5D6E-409C-BE32-E72D297353CC}">
              <c16:uniqueId val="{00000022-AD9F-9C41-B707-75C76EB144B4}"/>
            </c:ext>
          </c:extLst>
        </c:ser>
        <c:ser>
          <c:idx val="11"/>
          <c:order val="27"/>
          <c:tx>
            <c:v>"18-deg"</c:v>
          </c:tx>
          <c:spPr>
            <a:ln w="12700" cap="rnd">
              <a:solidFill>
                <a:srgbClr val="0070C0"/>
              </a:solidFill>
              <a:prstDash val="dash"/>
              <a:round/>
            </a:ln>
            <a:effectLst/>
          </c:spPr>
          <c:marker>
            <c:symbol val="none"/>
          </c:marker>
          <c:dLbls>
            <c:dLbl>
              <c:idx val="0"/>
              <c:tx>
                <c:rich>
                  <a:bodyPr/>
                  <a:lstStyle/>
                  <a:p>
                    <a:fld id="{C06CB3C4-F00A-8945-9744-4B2720C7D16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AD9F-9C41-B707-75C76EB144B4}"/>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AD9F-9C41-B707-75C76EB144B4}"/>
                </c:ext>
              </c:extLst>
            </c:dLbl>
            <c:spPr>
              <a:solidFill>
                <a:schemeClr val="l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Calcs!$M$44:$M$45</c:f>
              <c:numCache>
                <c:formatCode>0.00</c:formatCode>
                <c:ptCount val="2"/>
                <c:pt idx="0">
                  <c:v>12.465490015918224</c:v>
                </c:pt>
                <c:pt idx="1">
                  <c:v>12.465490015918224</c:v>
                </c:pt>
              </c:numCache>
            </c:numRef>
          </c:xVal>
          <c:yVal>
            <c:numRef>
              <c:f>Calcs!$N$44:$N$45</c:f>
              <c:numCache>
                <c:formatCode>General</c:formatCode>
                <c:ptCount val="2"/>
                <c:pt idx="0">
                  <c:v>0</c:v>
                </c:pt>
                <c:pt idx="1">
                  <c:v>90</c:v>
                </c:pt>
              </c:numCache>
            </c:numRef>
          </c:yVal>
          <c:smooth val="1"/>
          <c:extLst>
            <c:ext xmlns:c15="http://schemas.microsoft.com/office/drawing/2012/chart" uri="{02D57815-91ED-43cb-92C2-25804820EDAC}">
              <c15:datalabelsRange>
                <c15:f>Calcs!$O$42</c15:f>
                <c15:dlblRangeCache>
                  <c:ptCount val="1"/>
                  <c:pt idx="0">
                    <c:v>18</c:v>
                  </c:pt>
                </c15:dlblRangeCache>
              </c15:datalabelsRange>
            </c:ext>
            <c:ext xmlns:c16="http://schemas.microsoft.com/office/drawing/2014/chart" uri="{C3380CC4-5D6E-409C-BE32-E72D297353CC}">
              <c16:uniqueId val="{00000025-AD9F-9C41-B707-75C76EB144B4}"/>
            </c:ext>
          </c:extLst>
        </c:ser>
        <c:ser>
          <c:idx val="12"/>
          <c:order val="28"/>
          <c:tx>
            <c:v>"12-deg"</c:v>
          </c:tx>
          <c:spPr>
            <a:ln w="12700" cap="rnd">
              <a:solidFill>
                <a:srgbClr val="0070C0"/>
              </a:solidFill>
              <a:prstDash val="dash"/>
              <a:round/>
            </a:ln>
            <a:effectLst/>
          </c:spPr>
          <c:marker>
            <c:symbol val="none"/>
          </c:marker>
          <c:dLbls>
            <c:dLbl>
              <c:idx val="0"/>
              <c:tx>
                <c:rich>
                  <a:bodyPr/>
                  <a:lstStyle/>
                  <a:p>
                    <a:fld id="{B64A8680-C317-6A46-A07A-686F9592A79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AD9F-9C41-B707-75C76EB144B4}"/>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AD9F-9C41-B707-75C76EB144B4}"/>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Calcs!$M$46:$M$47</c:f>
              <c:numCache>
                <c:formatCode>0.00</c:formatCode>
                <c:ptCount val="2"/>
                <c:pt idx="0">
                  <c:v>2.135375871853185</c:v>
                </c:pt>
                <c:pt idx="1">
                  <c:v>2.135375871853185</c:v>
                </c:pt>
              </c:numCache>
            </c:numRef>
          </c:xVal>
          <c:yVal>
            <c:numRef>
              <c:f>Calcs!$N$46:$N$47</c:f>
              <c:numCache>
                <c:formatCode>General</c:formatCode>
                <c:ptCount val="2"/>
                <c:pt idx="0">
                  <c:v>0</c:v>
                </c:pt>
                <c:pt idx="1">
                  <c:v>90</c:v>
                </c:pt>
              </c:numCache>
            </c:numRef>
          </c:yVal>
          <c:smooth val="1"/>
          <c:extLst>
            <c:ext xmlns:c15="http://schemas.microsoft.com/office/drawing/2012/chart" uri="{02D57815-91ED-43cb-92C2-25804820EDAC}">
              <c15:datalabelsRange>
                <c15:f>Calcs!$O$46</c15:f>
                <c15:dlblRangeCache>
                  <c:ptCount val="1"/>
                  <c:pt idx="0">
                    <c:v>12</c:v>
                  </c:pt>
                </c15:dlblRangeCache>
              </c15:datalabelsRange>
            </c:ext>
            <c:ext xmlns:c16="http://schemas.microsoft.com/office/drawing/2014/chart" uri="{C3380CC4-5D6E-409C-BE32-E72D297353CC}">
              <c16:uniqueId val="{00000028-AD9F-9C41-B707-75C76EB144B4}"/>
            </c:ext>
          </c:extLst>
        </c:ser>
        <c:ser>
          <c:idx val="13"/>
          <c:order val="29"/>
          <c:tx>
            <c:v>"12-deg"</c:v>
          </c:tx>
          <c:spPr>
            <a:ln w="19050" cap="rnd">
              <a:solidFill>
                <a:schemeClr val="accent2">
                  <a:lumMod val="80000"/>
                  <a:lumOff val="20000"/>
                </a:schemeClr>
              </a:solidFill>
              <a:round/>
            </a:ln>
            <a:effectLst/>
          </c:spPr>
          <c:marker>
            <c:symbol val="none"/>
          </c:marker>
          <c:dPt>
            <c:idx val="1"/>
            <c:bubble3D val="0"/>
            <c:spPr>
              <a:ln w="12700" cap="rnd">
                <a:solidFill>
                  <a:srgbClr val="0070C0"/>
                </a:solidFill>
                <a:prstDash val="dash"/>
                <a:round/>
              </a:ln>
              <a:effectLst/>
            </c:spPr>
            <c:extLst>
              <c:ext xmlns:c16="http://schemas.microsoft.com/office/drawing/2014/chart" uri="{C3380CC4-5D6E-409C-BE32-E72D297353CC}">
                <c16:uniqueId val="{0000002A-AD9F-9C41-B707-75C76EB144B4}"/>
              </c:ext>
            </c:extLst>
          </c:dPt>
          <c:dLbls>
            <c:dLbl>
              <c:idx val="0"/>
              <c:tx>
                <c:rich>
                  <a:bodyPr/>
                  <a:lstStyle/>
                  <a:p>
                    <a:fld id="{7A2AD89E-BF89-C948-94C1-7BD45E583A8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AD9F-9C41-B707-75C76EB144B4}"/>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A-AD9F-9C41-B707-75C76EB144B4}"/>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Calcs!$M$48:$M$49</c:f>
              <c:numCache>
                <c:formatCode>0.00</c:formatCode>
                <c:ptCount val="2"/>
                <c:pt idx="0">
                  <c:v>12.94092368028338</c:v>
                </c:pt>
                <c:pt idx="1">
                  <c:v>12.94092368028338</c:v>
                </c:pt>
              </c:numCache>
            </c:numRef>
          </c:xVal>
          <c:yVal>
            <c:numRef>
              <c:f>Calcs!$N$48:$N$49</c:f>
              <c:numCache>
                <c:formatCode>General</c:formatCode>
                <c:ptCount val="2"/>
                <c:pt idx="0">
                  <c:v>0</c:v>
                </c:pt>
                <c:pt idx="1">
                  <c:v>90</c:v>
                </c:pt>
              </c:numCache>
            </c:numRef>
          </c:yVal>
          <c:smooth val="1"/>
          <c:extLst>
            <c:ext xmlns:c15="http://schemas.microsoft.com/office/drawing/2012/chart" uri="{02D57815-91ED-43cb-92C2-25804820EDAC}">
              <c15:datalabelsRange>
                <c15:f>Calcs!$O$46</c15:f>
                <c15:dlblRangeCache>
                  <c:ptCount val="1"/>
                  <c:pt idx="0">
                    <c:v>12</c:v>
                  </c:pt>
                </c15:dlblRangeCache>
              </c15:datalabelsRange>
            </c:ext>
            <c:ext xmlns:c16="http://schemas.microsoft.com/office/drawing/2014/chart" uri="{C3380CC4-5D6E-409C-BE32-E72D297353CC}">
              <c16:uniqueId val="{0000002C-AD9F-9C41-B707-75C76EB144B4}"/>
            </c:ext>
          </c:extLst>
        </c:ser>
        <c:ser>
          <c:idx val="36"/>
          <c:order val="30"/>
          <c:tx>
            <c:v>Partners</c:v>
          </c:tx>
          <c:spPr>
            <a:ln>
              <a:noFill/>
            </a:ln>
          </c:spPr>
          <c:marker>
            <c:symbol val="none"/>
          </c:marker>
          <c:dLbls>
            <c:dLbl>
              <c:idx val="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B277-1B4D-BA85-6F8463DE07EE}"/>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B277-1B4D-BA85-6F8463DE07EE}"/>
                </c:ext>
              </c:extLst>
            </c:dLbl>
            <c:dLbl>
              <c:idx val="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B277-1B4D-BA85-6F8463DE07EE}"/>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B277-1B4D-BA85-6F8463DE07EE}"/>
                </c:ext>
              </c:extLst>
            </c:dLbl>
            <c:dLbl>
              <c:idx val="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B277-1B4D-BA85-6F8463DE07EE}"/>
                </c:ext>
              </c:extLst>
            </c:dLbl>
            <c:dLbl>
              <c:idx val="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B277-1B4D-BA85-6F8463DE07EE}"/>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B277-1B4D-BA85-6F8463DE07EE}"/>
                </c:ext>
              </c:extLst>
            </c:dLbl>
            <c:dLbl>
              <c:idx val="7"/>
              <c:tx>
                <c:rich>
                  <a:bodyPr/>
                  <a:lstStyle/>
                  <a:p>
                    <a:fld id="{D1509B8D-31B3-8B44-9DE0-39050E8D074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277-1B4D-BA85-6F8463DE07EE}"/>
                </c:ext>
              </c:extLst>
            </c:dLbl>
            <c:dLbl>
              <c:idx val="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B277-1B4D-BA85-6F8463DE07EE}"/>
                </c:ext>
              </c:extLst>
            </c:dLbl>
            <c:dLbl>
              <c:idx val="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B277-1B4D-BA85-6F8463DE07EE}"/>
                </c:ext>
              </c:extLst>
            </c:dLbl>
            <c:dLbl>
              <c:idx val="1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B277-1B4D-BA85-6F8463DE07EE}"/>
                </c:ext>
              </c:extLst>
            </c:dLbl>
            <c:dLbl>
              <c:idx val="1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B277-1B4D-BA85-6F8463DE07EE}"/>
                </c:ext>
              </c:extLst>
            </c:dLbl>
            <c:dLbl>
              <c:idx val="1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B277-1B4D-BA85-6F8463DE07EE}"/>
                </c:ext>
              </c:extLst>
            </c:dLbl>
            <c:dLbl>
              <c:idx val="1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B277-1B4D-BA85-6F8463DE07EE}"/>
                </c:ext>
              </c:extLst>
            </c:dLbl>
            <c:dLbl>
              <c:idx val="1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B277-1B4D-BA85-6F8463DE07EE}"/>
                </c:ext>
              </c:extLst>
            </c:dLbl>
            <c:dLbl>
              <c:idx val="1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B277-1B4D-BA85-6F8463DE07EE}"/>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B277-1B4D-BA85-6F8463DE07EE}"/>
                </c:ext>
              </c:extLst>
            </c:dLbl>
            <c:dLbl>
              <c:idx val="1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B277-1B4D-BA85-6F8463DE07EE}"/>
                </c:ext>
              </c:extLst>
            </c:dLbl>
            <c:dLbl>
              <c:idx val="1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B277-1B4D-BA85-6F8463DE07EE}"/>
                </c:ext>
              </c:extLst>
            </c:dLbl>
            <c:dLbl>
              <c:idx val="1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B277-1B4D-BA85-6F8463DE07EE}"/>
                </c:ext>
              </c:extLst>
            </c:dLbl>
            <c:spPr>
              <a:solidFill>
                <a:schemeClr val="lt1"/>
              </a:solidFill>
              <a:ln>
                <a:noFill/>
              </a:ln>
              <a:effectLst/>
            </c:spPr>
            <c:txPr>
              <a:bodyPr rot="-5400000" vert="horz" wrap="square" lIns="38100" tIns="19050" rIns="38100" bIns="19050" anchor="ctr">
                <a:spAutoFit/>
              </a:bodyPr>
              <a:lstStyle/>
              <a:p>
                <a:pPr>
                  <a:defRPr sz="800" b="1"/>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LUCI!$AP$5:$AP$24</c:f>
              <c:numCache>
                <c:formatCode>0.0</c:formatCode>
                <c:ptCount val="20"/>
                <c:pt idx="0">
                  <c:v>#N/A</c:v>
                </c:pt>
                <c:pt idx="1">
                  <c:v>#N/A</c:v>
                </c:pt>
                <c:pt idx="2">
                  <c:v>#N/A</c:v>
                </c:pt>
                <c:pt idx="3">
                  <c:v>#N/A</c:v>
                </c:pt>
                <c:pt idx="4">
                  <c:v>#N/A</c:v>
                </c:pt>
                <c:pt idx="5">
                  <c:v>#N/A</c:v>
                </c:pt>
                <c:pt idx="6">
                  <c:v>#N/A</c:v>
                </c:pt>
                <c:pt idx="7">
                  <c:v>0.3538379457529941</c:v>
                </c:pt>
                <c:pt idx="8">
                  <c:v>#N/A</c:v>
                </c:pt>
                <c:pt idx="9">
                  <c:v>#N/A</c:v>
                </c:pt>
                <c:pt idx="10">
                  <c:v>#N/A</c:v>
                </c:pt>
                <c:pt idx="11">
                  <c:v>#N/A</c:v>
                </c:pt>
                <c:pt idx="12">
                  <c:v>#N/A</c:v>
                </c:pt>
                <c:pt idx="13">
                  <c:v>#N/A</c:v>
                </c:pt>
                <c:pt idx="14">
                  <c:v>#N/A</c:v>
                </c:pt>
                <c:pt idx="15">
                  <c:v>#N/A</c:v>
                </c:pt>
                <c:pt idx="16">
                  <c:v>#N/A</c:v>
                </c:pt>
                <c:pt idx="17">
                  <c:v>#N/A</c:v>
                </c:pt>
                <c:pt idx="18">
                  <c:v>#N/A</c:v>
                </c:pt>
                <c:pt idx="19">
                  <c:v>#N/A</c:v>
                </c:pt>
              </c:numCache>
            </c:numRef>
          </c:xVal>
          <c:yVal>
            <c:numRef>
              <c:f>LUCI!$AQ$5:$AQ$24</c:f>
              <c:numCache>
                <c:formatCode>0</c:formatCode>
                <c:ptCount val="20"/>
                <c:pt idx="0">
                  <c:v>#N/A</c:v>
                </c:pt>
                <c:pt idx="1">
                  <c:v>#N/A</c:v>
                </c:pt>
                <c:pt idx="2">
                  <c:v>#N/A</c:v>
                </c:pt>
                <c:pt idx="3">
                  <c:v>#N/A</c:v>
                </c:pt>
                <c:pt idx="4">
                  <c:v>#N/A</c:v>
                </c:pt>
                <c:pt idx="5">
                  <c:v>#N/A</c:v>
                </c:pt>
                <c:pt idx="6">
                  <c:v>#N/A</c:v>
                </c:pt>
                <c:pt idx="7">
                  <c:v>76.033333333333331</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1"/>
          <c:extLst>
            <c:ext xmlns:c15="http://schemas.microsoft.com/office/drawing/2012/chart" uri="{02D57815-91ED-43cb-92C2-25804820EDAC}">
              <c15:datalabelsRange>
                <c15:f>LUCI!$X$5:$X$24</c15:f>
                <c15:dlblRangeCache>
                  <c:ptCount val="20"/>
                  <c:pt idx="0">
                    <c:v>UVa</c:v>
                  </c:pt>
                  <c:pt idx="2">
                    <c:v>OSU</c:v>
                  </c:pt>
                  <c:pt idx="3">
                    <c:v>OSU</c:v>
                  </c:pt>
                  <c:pt idx="4">
                    <c:v>OSU</c:v>
                  </c:pt>
                  <c:pt idx="5">
                    <c:v>OSU</c:v>
                  </c:pt>
                  <c:pt idx="7">
                    <c:v>UVa</c:v>
                  </c:pt>
                </c15:dlblRangeCache>
              </c15:datalabelsRange>
            </c:ext>
            <c:ext xmlns:c16="http://schemas.microsoft.com/office/drawing/2014/chart" uri="{C3380CC4-5D6E-409C-BE32-E72D297353CC}">
              <c16:uniqueId val="{00000002-B277-1B4D-BA85-6F8463DE07EE}"/>
            </c:ext>
          </c:extLst>
        </c:ser>
        <c:ser>
          <c:idx val="14"/>
          <c:order val="31"/>
          <c:tx>
            <c:v>"Labels"</c:v>
          </c:tx>
          <c:spPr>
            <a:ln w="19050" cap="rnd">
              <a:noFill/>
              <a:round/>
            </a:ln>
            <a:effectLst/>
          </c:spPr>
          <c:marker>
            <c:symbol val="none"/>
          </c:marker>
          <c:dLbls>
            <c:dLbl>
              <c:idx val="0"/>
              <c:tx>
                <c:rich>
                  <a:bodyPr rot="-5400000" spcFirstLastPara="1" vertOverflow="ellipsis" wrap="square" lIns="36576" tIns="19050" rIns="38100" bIns="19050" anchor="ctr" anchorCtr="1">
                    <a:spAutoFit/>
                  </a:bodyPr>
                  <a:lstStyle/>
                  <a:p>
                    <a:pPr>
                      <a:defRPr sz="900" b="1" i="0" u="none" strike="noStrike" kern="1200" baseline="0">
                        <a:solidFill>
                          <a:schemeClr val="tx1"/>
                        </a:solidFill>
                        <a:latin typeface="+mn-lt"/>
                        <a:ea typeface="+mn-ea"/>
                        <a:cs typeface="+mn-cs"/>
                      </a:defRPr>
                    </a:pPr>
                    <a:fld id="{5618688A-EBF6-9D4F-A81D-5E2EB804990A}" type="CELLRANGE">
                      <a:rPr lang="en-US"/>
                      <a:pPr>
                        <a:defRPr sz="900" b="1" i="0" u="none" strike="noStrike" kern="1200" baseline="0">
                          <a:solidFill>
                            <a:schemeClr val="tx1"/>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3-AD9F-9C41-B707-75C76EB144B4}"/>
                </c:ext>
              </c:extLst>
            </c:dLbl>
            <c:dLbl>
              <c:idx val="1"/>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4-AD9F-9C41-B707-75C76EB144B4}"/>
                </c:ext>
              </c:extLst>
            </c:dLbl>
            <c:dLbl>
              <c:idx val="2"/>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5-AD9F-9C41-B707-75C76EB144B4}"/>
                </c:ext>
              </c:extLst>
            </c:dLbl>
            <c:dLbl>
              <c:idx val="3"/>
              <c:tx>
                <c:rich>
                  <a:bodyPr rot="-5400000" spcFirstLastPara="1" vertOverflow="ellipsis" wrap="square" lIns="36576"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6-AD9F-9C41-B707-75C76EB144B4}"/>
                </c:ext>
              </c:extLst>
            </c:dLbl>
            <c:dLbl>
              <c:idx val="4"/>
              <c:tx>
                <c:rich>
                  <a:bodyPr rot="-5400000" spcFirstLastPara="1" vertOverflow="ellipsis" wrap="square" lIns="36576" tIns="19050" rIns="38100" bIns="19050" anchor="ctr" anchorCtr="1">
                    <a:spAutoFit/>
                  </a:bodyPr>
                  <a:lstStyle/>
                  <a:p>
                    <a:pPr>
                      <a:defRPr sz="900" b="1" i="0" u="none" strike="noStrike" kern="1200" baseline="0">
                        <a:solidFill>
                          <a:srgbClr val="0070C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7-AD9F-9C41-B707-75C76EB144B4}"/>
                </c:ext>
              </c:extLst>
            </c:dLbl>
            <c:dLbl>
              <c:idx val="5"/>
              <c:tx>
                <c:rich>
                  <a:bodyPr rot="-5400000" spcFirstLastPara="1" vertOverflow="ellipsis" wrap="square" lIns="36576"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8-AD9F-9C41-B707-75C76EB144B4}"/>
                </c:ext>
              </c:extLst>
            </c:dLbl>
            <c:dLbl>
              <c:idx val="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9-AD9F-9C41-B707-75C76EB144B4}"/>
                </c:ext>
              </c:extLst>
            </c:dLbl>
            <c:dLbl>
              <c:idx val="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A-AD9F-9C41-B707-75C76EB144B4}"/>
                </c:ext>
              </c:extLst>
            </c:dLbl>
            <c:dLbl>
              <c:idx val="8"/>
              <c:tx>
                <c:rich>
                  <a:bodyPr/>
                  <a:lstStyle/>
                  <a:p>
                    <a:fld id="{462945A4-DE3C-B94A-B5BB-613FC4991D2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AD9F-9C41-B707-75C76EB144B4}"/>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C-AD9F-9C41-B707-75C76EB144B4}"/>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D-AD9F-9C41-B707-75C76EB144B4}"/>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E-AD9F-9C41-B707-75C76EB144B4}"/>
                </c:ext>
              </c:extLst>
            </c:dLbl>
            <c:dLbl>
              <c:idx val="1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F-AD9F-9C41-B707-75C76EB144B4}"/>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0-AD9F-9C41-B707-75C76EB144B4}"/>
                </c:ext>
              </c:extLst>
            </c:dLbl>
            <c:dLbl>
              <c:idx val="1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1-AD9F-9C41-B707-75C76EB144B4}"/>
                </c:ext>
              </c:extLst>
            </c:dLbl>
            <c:dLbl>
              <c:idx val="1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2-AD9F-9C41-B707-75C76EB144B4}"/>
                </c:ext>
              </c:extLst>
            </c:dLbl>
            <c:dLbl>
              <c:idx val="1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3-AD9F-9C41-B707-75C76EB144B4}"/>
                </c:ext>
              </c:extLst>
            </c:dLbl>
            <c:dLbl>
              <c:idx val="1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4-AD9F-9C41-B707-75C76EB144B4}"/>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5-AD9F-9C41-B707-75C76EB144B4}"/>
                </c:ext>
              </c:extLst>
            </c:dLbl>
            <c:dLbl>
              <c:idx val="1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6-AD9F-9C41-B707-75C76EB144B4}"/>
                </c:ext>
              </c:extLst>
            </c:dLbl>
            <c:dLbl>
              <c:idx val="2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7-AD9F-9C41-B707-75C76EB144B4}"/>
                </c:ext>
              </c:extLst>
            </c:dLbl>
            <c:spPr>
              <a:solidFill>
                <a:schemeClr val="lt1"/>
              </a:solidFill>
              <a:ln>
                <a:noFill/>
              </a:ln>
              <a:effectLst/>
            </c:spPr>
            <c:txPr>
              <a:bodyPr rot="-5400000" spcFirstLastPara="1" vertOverflow="ellipsis" wrap="square" lIns="36576"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xVal>
            <c:numRef>
              <c:f>LUCI!$AP$4:$AP$24</c:f>
              <c:numCache>
                <c:formatCode>0.0</c:formatCode>
                <c:ptCount val="21"/>
                <c:pt idx="0">
                  <c:v>18.988156148967683</c:v>
                </c:pt>
                <c:pt idx="1">
                  <c:v>#N/A</c:v>
                </c:pt>
                <c:pt idx="2">
                  <c:v>#N/A</c:v>
                </c:pt>
                <c:pt idx="3">
                  <c:v>#N/A</c:v>
                </c:pt>
                <c:pt idx="4">
                  <c:v>#N/A</c:v>
                </c:pt>
                <c:pt idx="5">
                  <c:v>#N/A</c:v>
                </c:pt>
                <c:pt idx="6">
                  <c:v>#N/A</c:v>
                </c:pt>
                <c:pt idx="7">
                  <c:v>#N/A</c:v>
                </c:pt>
                <c:pt idx="8">
                  <c:v>0.3538379457529941</c:v>
                </c:pt>
                <c:pt idx="9">
                  <c:v>#N/A</c:v>
                </c:pt>
                <c:pt idx="10">
                  <c:v>#N/A</c:v>
                </c:pt>
                <c:pt idx="11">
                  <c:v>#N/A</c:v>
                </c:pt>
                <c:pt idx="12">
                  <c:v>#N/A</c:v>
                </c:pt>
                <c:pt idx="13">
                  <c:v>#N/A</c:v>
                </c:pt>
                <c:pt idx="14">
                  <c:v>#N/A</c:v>
                </c:pt>
                <c:pt idx="15">
                  <c:v>#N/A</c:v>
                </c:pt>
                <c:pt idx="16">
                  <c:v>#N/A</c:v>
                </c:pt>
                <c:pt idx="17">
                  <c:v>#N/A</c:v>
                </c:pt>
                <c:pt idx="18">
                  <c:v>#N/A</c:v>
                </c:pt>
                <c:pt idx="19">
                  <c:v>#N/A</c:v>
                </c:pt>
                <c:pt idx="20">
                  <c:v>#N/A</c:v>
                </c:pt>
              </c:numCache>
            </c:numRef>
          </c:xVal>
          <c:yVal>
            <c:numRef>
              <c:f>LUCI!$AQ$4:$AQ$24</c:f>
              <c:numCache>
                <c:formatCode>0</c:formatCode>
                <c:ptCount val="21"/>
                <c:pt idx="0">
                  <c:v>43.105636220368886</c:v>
                </c:pt>
                <c:pt idx="1">
                  <c:v>#N/A</c:v>
                </c:pt>
                <c:pt idx="2">
                  <c:v>#N/A</c:v>
                </c:pt>
                <c:pt idx="3">
                  <c:v>#N/A</c:v>
                </c:pt>
                <c:pt idx="4">
                  <c:v>#N/A</c:v>
                </c:pt>
                <c:pt idx="5">
                  <c:v>#N/A</c:v>
                </c:pt>
                <c:pt idx="6">
                  <c:v>#N/A</c:v>
                </c:pt>
                <c:pt idx="7">
                  <c:v>#N/A</c:v>
                </c:pt>
                <c:pt idx="8">
                  <c:v>76.033333333333331</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1"/>
          <c:extLst>
            <c:ext xmlns:c15="http://schemas.microsoft.com/office/drawing/2012/chart" uri="{02D57815-91ED-43cb-92C2-25804820EDAC}">
              <c15:datalabelsRange>
                <c15:f>LUCI!$W$4:$W$24</c15:f>
                <c15:dlblRangeCache>
                  <c:ptCount val="21"/>
                  <c:pt idx="0">
                    <c:v>Moon</c:v>
                  </c:pt>
                  <c:pt idx="1">
                    <c:v>J2229</c:v>
                  </c:pt>
                  <c:pt idx="3">
                    <c:v>J0042</c:v>
                  </c:pt>
                  <c:pt idx="4">
                    <c:v>J0158</c:v>
                  </c:pt>
                  <c:pt idx="5">
                    <c:v>J0224</c:v>
                  </c:pt>
                  <c:pt idx="6">
                    <c:v>J2031</c:v>
                  </c:pt>
                  <c:pt idx="8">
                    <c:v>Uranus</c:v>
                  </c:pt>
                </c15:dlblRangeCache>
              </c15:datalabelsRange>
            </c:ext>
            <c:ext xmlns:c16="http://schemas.microsoft.com/office/drawing/2014/chart" uri="{C3380CC4-5D6E-409C-BE32-E72D297353CC}">
              <c16:uniqueId val="{00000058-AD9F-9C41-B707-75C76EB144B4}"/>
            </c:ext>
          </c:extLst>
        </c:ser>
        <c:ser>
          <c:idx val="15"/>
          <c:order val="32"/>
          <c:tx>
            <c:v>"Exposure"</c:v>
          </c:tx>
          <c:spPr>
            <a:ln w="19050" cap="rnd">
              <a:noFill/>
              <a:round/>
            </a:ln>
            <a:effectLst/>
          </c:spPr>
          <c:marker>
            <c:symbol val="none"/>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AD9F-9C41-B707-75C76EB144B4}"/>
                </c:ext>
              </c:extLst>
            </c:dLbl>
            <c:dLbl>
              <c:idx val="1"/>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E-AD9F-9C41-B707-75C76EB144B4}"/>
                </c:ext>
              </c:extLst>
            </c:dLbl>
            <c:dLbl>
              <c:idx val="2"/>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F-AD9F-9C41-B707-75C76EB144B4}"/>
                </c:ext>
              </c:extLst>
            </c:dLbl>
            <c:dLbl>
              <c:idx val="3"/>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0-AD9F-9C41-B707-75C76EB144B4}"/>
                </c:ext>
              </c:extLst>
            </c:dLbl>
            <c:dLbl>
              <c:idx val="4"/>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1-AD9F-9C41-B707-75C76EB144B4}"/>
                </c:ext>
              </c:extLst>
            </c:dLbl>
            <c:dLbl>
              <c:idx val="5"/>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2-AD9F-9C41-B707-75C76EB144B4}"/>
                </c:ext>
              </c:extLst>
            </c:dLbl>
            <c:dLbl>
              <c:idx val="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3-AD9F-9C41-B707-75C76EB144B4}"/>
                </c:ext>
              </c:extLst>
            </c:dLbl>
            <c:dLbl>
              <c:idx val="7"/>
              <c:tx>
                <c:rich>
                  <a:bodyPr/>
                  <a:lstStyle/>
                  <a:p>
                    <a:fld id="{9F5C1590-1B98-4B42-8059-6E5507CC3B4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AD9F-9C41-B707-75C76EB144B4}"/>
                </c:ext>
              </c:extLst>
            </c:dLbl>
            <c:dLbl>
              <c:idx val="8"/>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5-AD9F-9C41-B707-75C76EB144B4}"/>
                </c:ext>
              </c:extLst>
            </c:dLbl>
            <c:dLbl>
              <c:idx val="9"/>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6-AD9F-9C41-B707-75C76EB144B4}"/>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AD9F-9C41-B707-75C76EB144B4}"/>
                </c:ext>
              </c:extLst>
            </c:dLbl>
            <c:dLbl>
              <c:idx val="11"/>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8-AD9F-9C41-B707-75C76EB144B4}"/>
                </c:ext>
              </c:extLst>
            </c:dLbl>
            <c:dLbl>
              <c:idx val="12"/>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AD9F-9C41-B707-75C76EB144B4}"/>
                </c:ext>
              </c:extLst>
            </c:dLbl>
            <c:dLbl>
              <c:idx val="13"/>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AD9F-9C41-B707-75C76EB144B4}"/>
                </c:ext>
              </c:extLst>
            </c:dLbl>
            <c:dLbl>
              <c:idx val="14"/>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AD9F-9C41-B707-75C76EB144B4}"/>
                </c:ext>
              </c:extLst>
            </c:dLbl>
            <c:dLbl>
              <c:idx val="15"/>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AD9F-9C41-B707-75C76EB144B4}"/>
                </c:ext>
              </c:extLst>
            </c:dLbl>
            <c:dLbl>
              <c:idx val="1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D-AD9F-9C41-B707-75C76EB144B4}"/>
                </c:ext>
              </c:extLst>
            </c:dLbl>
            <c:dLbl>
              <c:idx val="1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E-AD9F-9C41-B707-75C76EB144B4}"/>
                </c:ext>
              </c:extLst>
            </c:dLbl>
            <c:dLbl>
              <c:idx val="18"/>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F-AD9F-9C41-B707-75C76EB144B4}"/>
                </c:ext>
              </c:extLst>
            </c:dLbl>
            <c:dLbl>
              <c:idx val="19"/>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0-AD9F-9C41-B707-75C76EB144B4}"/>
                </c:ext>
              </c:extLst>
            </c:dLbl>
            <c:spPr>
              <a:solidFill>
                <a:schemeClr val="lt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LUCI!$AP$5:$AP$24</c:f>
              <c:numCache>
                <c:formatCode>0.0</c:formatCode>
                <c:ptCount val="20"/>
                <c:pt idx="0">
                  <c:v>#N/A</c:v>
                </c:pt>
                <c:pt idx="1">
                  <c:v>#N/A</c:v>
                </c:pt>
                <c:pt idx="2">
                  <c:v>#N/A</c:v>
                </c:pt>
                <c:pt idx="3">
                  <c:v>#N/A</c:v>
                </c:pt>
                <c:pt idx="4">
                  <c:v>#N/A</c:v>
                </c:pt>
                <c:pt idx="5">
                  <c:v>#N/A</c:v>
                </c:pt>
                <c:pt idx="6">
                  <c:v>#N/A</c:v>
                </c:pt>
                <c:pt idx="7">
                  <c:v>0.3538379457529941</c:v>
                </c:pt>
                <c:pt idx="8">
                  <c:v>#N/A</c:v>
                </c:pt>
                <c:pt idx="9">
                  <c:v>#N/A</c:v>
                </c:pt>
                <c:pt idx="10">
                  <c:v>#N/A</c:v>
                </c:pt>
                <c:pt idx="11">
                  <c:v>#N/A</c:v>
                </c:pt>
                <c:pt idx="12">
                  <c:v>#N/A</c:v>
                </c:pt>
                <c:pt idx="13">
                  <c:v>#N/A</c:v>
                </c:pt>
                <c:pt idx="14">
                  <c:v>#N/A</c:v>
                </c:pt>
                <c:pt idx="15">
                  <c:v>#N/A</c:v>
                </c:pt>
                <c:pt idx="16">
                  <c:v>#N/A</c:v>
                </c:pt>
                <c:pt idx="17">
                  <c:v>#N/A</c:v>
                </c:pt>
                <c:pt idx="18">
                  <c:v>#N/A</c:v>
                </c:pt>
                <c:pt idx="19">
                  <c:v>#N/A</c:v>
                </c:pt>
              </c:numCache>
            </c:numRef>
          </c:xVal>
          <c:yVal>
            <c:numRef>
              <c:f>LUCI!$AQ$5:$AQ$24</c:f>
              <c:numCache>
                <c:formatCode>0</c:formatCode>
                <c:ptCount val="20"/>
                <c:pt idx="0">
                  <c:v>#N/A</c:v>
                </c:pt>
                <c:pt idx="1">
                  <c:v>#N/A</c:v>
                </c:pt>
                <c:pt idx="2">
                  <c:v>#N/A</c:v>
                </c:pt>
                <c:pt idx="3">
                  <c:v>#N/A</c:v>
                </c:pt>
                <c:pt idx="4">
                  <c:v>#N/A</c:v>
                </c:pt>
                <c:pt idx="5">
                  <c:v>#N/A</c:v>
                </c:pt>
                <c:pt idx="6">
                  <c:v>#N/A</c:v>
                </c:pt>
                <c:pt idx="7">
                  <c:v>76.033333333333331</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1"/>
          <c:extLst>
            <c:ext xmlns:c15="http://schemas.microsoft.com/office/drawing/2012/chart" uri="{02D57815-91ED-43cb-92C2-25804820EDAC}">
              <c15:datalabelsRange>
                <c15:f>LUCI!$AC$5:$AC$24</c15:f>
                <c15:dlblRangeCache>
                  <c:ptCount val="20"/>
                  <c:pt idx="0">
                    <c:v>1.2</c:v>
                  </c:pt>
                  <c:pt idx="2">
                    <c:v>0.17</c:v>
                  </c:pt>
                  <c:pt idx="3">
                    <c:v>0.22</c:v>
                  </c:pt>
                  <c:pt idx="5">
                    <c:v>0.22</c:v>
                  </c:pt>
                  <c:pt idx="7">
                    <c:v>3.00</c:v>
                  </c:pt>
                </c15:dlblRangeCache>
              </c15:datalabelsRange>
            </c:ext>
            <c:ext xmlns:c16="http://schemas.microsoft.com/office/drawing/2014/chart" uri="{C3380CC4-5D6E-409C-BE32-E72D297353CC}">
              <c16:uniqueId val="{00000042-AD9F-9C41-B707-75C76EB144B4}"/>
            </c:ext>
          </c:extLst>
        </c:ser>
        <c:ser>
          <c:idx val="16"/>
          <c:order val="33"/>
          <c:tx>
            <c:v>"Instrument"</c:v>
          </c:tx>
          <c:spPr>
            <a:ln w="19050" cap="rnd">
              <a:solidFill>
                <a:schemeClr val="accent5">
                  <a:lumMod val="80000"/>
                  <a:lumOff val="20000"/>
                </a:schemeClr>
              </a:solid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4B06A1D0-4848-2644-9735-D3309F255178}" type="CELLRANGE">
                      <a:rPr lang="en-US"/>
                      <a:pPr>
                        <a:defRPr sz="1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AD9F-9C41-B707-75C76EB144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LUCI!$BO$44</c:f>
              <c:numCache>
                <c:formatCode>General</c:formatCode>
                <c:ptCount val="1"/>
                <c:pt idx="0">
                  <c:v>12</c:v>
                </c:pt>
              </c:numCache>
            </c:numRef>
          </c:xVal>
          <c:yVal>
            <c:numRef>
              <c:f>LUCI!$BP$44</c:f>
              <c:numCache>
                <c:formatCode>General</c:formatCode>
                <c:ptCount val="1"/>
                <c:pt idx="0">
                  <c:v>90</c:v>
                </c:pt>
              </c:numCache>
            </c:numRef>
          </c:yVal>
          <c:smooth val="1"/>
          <c:extLst>
            <c:ext xmlns:c15="http://schemas.microsoft.com/office/drawing/2012/chart" uri="{02D57815-91ED-43cb-92C2-25804820EDAC}">
              <c15:datalabelsRange>
                <c15:f>LUCI!$BQ$44</c15:f>
                <c15:dlblRangeCache>
                  <c:ptCount val="1"/>
                  <c:pt idx="0">
                    <c:v>LUCI</c:v>
                  </c:pt>
                </c15:dlblRangeCache>
              </c15:datalabelsRange>
            </c:ext>
            <c:ext xmlns:c16="http://schemas.microsoft.com/office/drawing/2014/chart" uri="{C3380CC4-5D6E-409C-BE32-E72D297353CC}">
              <c16:uniqueId val="{0000005A-AD9F-9C41-B707-75C76EB144B4}"/>
            </c:ext>
          </c:extLst>
        </c:ser>
        <c:ser>
          <c:idx val="19"/>
          <c:order val="34"/>
          <c:tx>
            <c:v>"Now"</c:v>
          </c:tx>
          <c:spPr>
            <a:ln w="19050" cap="rnd">
              <a:noFill/>
              <a:round/>
            </a:ln>
            <a:effectLst/>
          </c:spPr>
          <c:marker>
            <c:symbol val="circle"/>
            <c:size val="7"/>
            <c:spPr>
              <a:noFill/>
              <a:ln w="15875">
                <a:solidFill>
                  <a:srgbClr val="C00000"/>
                </a:solidFill>
              </a:ln>
              <a:effectLst/>
            </c:spPr>
          </c:marker>
          <c:dLbls>
            <c:dLbl>
              <c:idx val="0"/>
              <c:tx>
                <c:rich>
                  <a:bodyPr/>
                  <a:lstStyle/>
                  <a:p>
                    <a:fld id="{28ECC5D5-F598-3C40-9D17-EF8DD4F6475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B-AD9F-9C41-B707-75C76EB144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LUCI!$BO$45</c:f>
              <c:numCache>
                <c:formatCode>0.0</c:formatCode>
                <c:ptCount val="1"/>
                <c:pt idx="0">
                  <c:v>1.9666666666666668</c:v>
                </c:pt>
              </c:numCache>
            </c:numRef>
          </c:xVal>
          <c:yVal>
            <c:numRef>
              <c:f>LUCI!$BP$45</c:f>
              <c:numCache>
                <c:formatCode>General</c:formatCode>
                <c:ptCount val="1"/>
                <c:pt idx="0">
                  <c:v>4</c:v>
                </c:pt>
              </c:numCache>
            </c:numRef>
          </c:yVal>
          <c:smooth val="1"/>
          <c:extLst>
            <c:ext xmlns:c15="http://schemas.microsoft.com/office/drawing/2012/chart" uri="{02D57815-91ED-43cb-92C2-25804820EDAC}">
              <c15:datalabelsRange>
                <c15:f>LUCI!$BQ$45</c15:f>
                <c15:dlblRangeCache>
                  <c:ptCount val="1"/>
                  <c:pt idx="0">
                    <c:v>Now</c:v>
                  </c:pt>
                </c15:dlblRangeCache>
              </c15:datalabelsRange>
            </c:ext>
            <c:ext xmlns:c16="http://schemas.microsoft.com/office/drawing/2014/chart" uri="{C3380CC4-5D6E-409C-BE32-E72D297353CC}">
              <c16:uniqueId val="{0000005C-AD9F-9C41-B707-75C76EB144B4}"/>
            </c:ext>
          </c:extLst>
        </c:ser>
        <c:ser>
          <c:idx val="34"/>
          <c:order val="35"/>
          <c:tx>
            <c:v>Alt at UT</c:v>
          </c:tx>
          <c:spPr>
            <a:ln w="19050" cap="rnd">
              <a:noFill/>
              <a:round/>
            </a:ln>
            <a:effectLst/>
          </c:spPr>
          <c:marker>
            <c:symbol val="circle"/>
            <c:size val="4"/>
            <c:spPr>
              <a:solidFill>
                <a:schemeClr val="lt1"/>
              </a:solidFill>
              <a:ln w="9525">
                <a:solidFill>
                  <a:schemeClr val="accent5">
                    <a:lumMod val="50000"/>
                  </a:schemeClr>
                </a:solidFill>
              </a:ln>
              <a:effectLst/>
            </c:spPr>
          </c:marker>
          <c:errBars>
            <c:errDir val="x"/>
            <c:errBarType val="plus"/>
            <c:errValType val="cust"/>
            <c:noEndCap val="0"/>
            <c:plus>
              <c:numRef>
                <c:f>LUCI!$AU$4:$AU$24</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plus>
            <c:minus>
              <c:numRef>
                <c:f>LUCI!$AU$4:$AU$24</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minus>
            <c:spPr>
              <a:ln>
                <a:solidFill>
                  <a:schemeClr val="bg1">
                    <a:lumMod val="65000"/>
                  </a:schemeClr>
                </a:solidFill>
              </a:ln>
            </c:spPr>
          </c:errBars>
          <c:errBars>
            <c:errDir val="y"/>
            <c:errBarType val="both"/>
            <c:errValType val="percentage"/>
            <c:noEndCap val="1"/>
            <c:val val="5"/>
            <c:spPr>
              <a:ln>
                <a:noFill/>
              </a:ln>
            </c:spPr>
          </c:errBars>
          <c:xVal>
            <c:numRef>
              <c:f>Calcs!$O$6:$O$26</c:f>
              <c:numCache>
                <c:formatCode>0.00</c:formatCode>
                <c:ptCount val="21"/>
                <c:pt idx="0">
                  <c:v>1.9666666666666668</c:v>
                </c:pt>
                <c:pt idx="1">
                  <c:v>#N/A</c:v>
                </c:pt>
                <c:pt idx="2">
                  <c:v>#N/A</c:v>
                </c:pt>
                <c:pt idx="3">
                  <c:v>#N/A</c:v>
                </c:pt>
                <c:pt idx="4">
                  <c:v>#N/A</c:v>
                </c:pt>
                <c:pt idx="5">
                  <c:v>#N/A</c:v>
                </c:pt>
                <c:pt idx="6">
                  <c:v>#N/A</c:v>
                </c:pt>
                <c:pt idx="7">
                  <c:v>#N/A</c:v>
                </c:pt>
                <c:pt idx="8">
                  <c:v>1.9666666666666668</c:v>
                </c:pt>
                <c:pt idx="9">
                  <c:v>#N/A</c:v>
                </c:pt>
                <c:pt idx="10">
                  <c:v>#N/A</c:v>
                </c:pt>
                <c:pt idx="11">
                  <c:v>#N/A</c:v>
                </c:pt>
                <c:pt idx="12">
                  <c:v>#N/A</c:v>
                </c:pt>
                <c:pt idx="13">
                  <c:v>#N/A</c:v>
                </c:pt>
                <c:pt idx="14">
                  <c:v>#N/A</c:v>
                </c:pt>
                <c:pt idx="15">
                  <c:v>#N/A</c:v>
                </c:pt>
                <c:pt idx="16">
                  <c:v>#N/A</c:v>
                </c:pt>
                <c:pt idx="17">
                  <c:v>#N/A</c:v>
                </c:pt>
                <c:pt idx="18">
                  <c:v>#N/A</c:v>
                </c:pt>
                <c:pt idx="19">
                  <c:v>#N/A</c:v>
                </c:pt>
                <c:pt idx="20">
                  <c:v>#N/A</c:v>
                </c:pt>
              </c:numCache>
            </c:numRef>
          </c:xVal>
          <c:yVal>
            <c:numRef>
              <c:f>LUCI!$AE$4:$AE$24</c:f>
              <c:numCache>
                <c:formatCode>0</c:formatCode>
                <c:ptCount val="21"/>
                <c:pt idx="0">
                  <c:v>-19.827303742046936</c:v>
                </c:pt>
                <c:pt idx="1">
                  <c:v>#N/A</c:v>
                </c:pt>
                <c:pt idx="2">
                  <c:v>#N/A</c:v>
                </c:pt>
                <c:pt idx="3">
                  <c:v>#N/A</c:v>
                </c:pt>
                <c:pt idx="4">
                  <c:v>#N/A</c:v>
                </c:pt>
                <c:pt idx="5">
                  <c:v>#N/A</c:v>
                </c:pt>
                <c:pt idx="6">
                  <c:v>#N/A</c:v>
                </c:pt>
                <c:pt idx="7">
                  <c:v>#N/A</c:v>
                </c:pt>
                <c:pt idx="8">
                  <c:v>64.216660702408021</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1"/>
          <c:extLst>
            <c:ext xmlns:c16="http://schemas.microsoft.com/office/drawing/2014/chart" uri="{C3380CC4-5D6E-409C-BE32-E72D297353CC}">
              <c16:uniqueId val="{0000005D-AD9F-9C41-B707-75C76EB144B4}"/>
            </c:ext>
          </c:extLst>
        </c:ser>
        <c:ser>
          <c:idx val="35"/>
          <c:order val="36"/>
          <c:tx>
            <c:v>Local Time</c:v>
          </c:tx>
          <c:spPr>
            <a:ln w="19050" cap="rnd">
              <a:noFill/>
              <a:round/>
            </a:ln>
            <a:effectLst/>
          </c:spPr>
          <c:marker>
            <c:symbol val="none"/>
          </c:marker>
          <c:dLbls>
            <c:dLbl>
              <c:idx val="0"/>
              <c:tx>
                <c:rich>
                  <a:bodyPr/>
                  <a:lstStyle/>
                  <a:p>
                    <a:fld id="{73EF03BB-740A-DE4D-B4F9-8C06A52300E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AD9F-9C41-B707-75C76EB144B4}"/>
                </c:ext>
              </c:extLst>
            </c:dLbl>
            <c:dLbl>
              <c:idx val="1"/>
              <c:tx>
                <c:rich>
                  <a:bodyPr/>
                  <a:lstStyle/>
                  <a:p>
                    <a:fld id="{44745D6E-9688-534E-BBE1-EEA1A2FD51B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AD9F-9C41-B707-75C76EB144B4}"/>
                </c:ext>
              </c:extLst>
            </c:dLbl>
            <c:dLbl>
              <c:idx val="2"/>
              <c:tx>
                <c:rich>
                  <a:bodyPr/>
                  <a:lstStyle/>
                  <a:p>
                    <a:fld id="{CDA12A8A-6F59-874A-B955-B2996CE7E9E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AD9F-9C41-B707-75C76EB144B4}"/>
                </c:ext>
              </c:extLst>
            </c:dLbl>
            <c:dLbl>
              <c:idx val="3"/>
              <c:tx>
                <c:rich>
                  <a:bodyPr/>
                  <a:lstStyle/>
                  <a:p>
                    <a:fld id="{B26DDE1A-7671-F24B-9E81-9E11E9D89E9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AD9F-9C41-B707-75C76EB144B4}"/>
                </c:ext>
              </c:extLst>
            </c:dLbl>
            <c:dLbl>
              <c:idx val="4"/>
              <c:tx>
                <c:rich>
                  <a:bodyPr/>
                  <a:lstStyle/>
                  <a:p>
                    <a:fld id="{04F0AC45-C104-2543-A007-863365CBD06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AD9F-9C41-B707-75C76EB144B4}"/>
                </c:ext>
              </c:extLst>
            </c:dLbl>
            <c:dLbl>
              <c:idx val="5"/>
              <c:tx>
                <c:rich>
                  <a:bodyPr/>
                  <a:lstStyle/>
                  <a:p>
                    <a:fld id="{43285178-62B0-4941-8DA0-A7934DA35B5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AD9F-9C41-B707-75C76EB144B4}"/>
                </c:ext>
              </c:extLst>
            </c:dLbl>
            <c:dLbl>
              <c:idx val="6"/>
              <c:tx>
                <c:rich>
                  <a:bodyPr/>
                  <a:lstStyle/>
                  <a:p>
                    <a:fld id="{ACCE728B-C625-2C4D-ADF7-9410FED785B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AD9F-9C41-B707-75C76EB144B4}"/>
                </c:ext>
              </c:extLst>
            </c:dLbl>
            <c:dLbl>
              <c:idx val="7"/>
              <c:tx>
                <c:rich>
                  <a:bodyPr/>
                  <a:lstStyle/>
                  <a:p>
                    <a:fld id="{8383A458-30A2-064C-B346-816CCBE4CD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AD9F-9C41-B707-75C76EB144B4}"/>
                </c:ext>
              </c:extLst>
            </c:dLbl>
            <c:dLbl>
              <c:idx val="8"/>
              <c:tx>
                <c:rich>
                  <a:bodyPr/>
                  <a:lstStyle/>
                  <a:p>
                    <a:fld id="{46F5A440-8CF8-AC48-A3B9-CE19D1433F1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AD9F-9C41-B707-75C76EB144B4}"/>
                </c:ext>
              </c:extLst>
            </c:dLbl>
            <c:dLbl>
              <c:idx val="9"/>
              <c:tx>
                <c:rich>
                  <a:bodyPr/>
                  <a:lstStyle/>
                  <a:p>
                    <a:fld id="{ECD7A4D8-0DA2-6A41-8725-B22C424766E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AD9F-9C41-B707-75C76EB144B4}"/>
                </c:ext>
              </c:extLst>
            </c:dLbl>
            <c:dLbl>
              <c:idx val="10"/>
              <c:tx>
                <c:rich>
                  <a:bodyPr/>
                  <a:lstStyle/>
                  <a:p>
                    <a:fld id="{22614797-6E72-1047-9CCE-FE16F304FBA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AD9F-9C41-B707-75C76EB144B4}"/>
                </c:ext>
              </c:extLst>
            </c:dLbl>
            <c:dLbl>
              <c:idx val="11"/>
              <c:tx>
                <c:rich>
                  <a:bodyPr/>
                  <a:lstStyle/>
                  <a:p>
                    <a:fld id="{4CC5D1D9-4501-034A-A4A9-2716238772B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AD9F-9C41-B707-75C76EB144B4}"/>
                </c:ext>
              </c:extLst>
            </c:dLbl>
            <c:dLbl>
              <c:idx val="12"/>
              <c:tx>
                <c:rich>
                  <a:bodyPr/>
                  <a:lstStyle/>
                  <a:p>
                    <a:fld id="{C7846AAB-A268-9646-B550-8964D199C95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AD9F-9C41-B707-75C76EB144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Calcs!$S$4:$S$16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Calcs!$T$4:$T$16</c:f>
              <c:numCache>
                <c:formatCode>General</c:formatCode>
                <c:ptCount val="13"/>
                <c:pt idx="0">
                  <c:v>88</c:v>
                </c:pt>
                <c:pt idx="1">
                  <c:v>88</c:v>
                </c:pt>
                <c:pt idx="2">
                  <c:v>88</c:v>
                </c:pt>
                <c:pt idx="3">
                  <c:v>88</c:v>
                </c:pt>
                <c:pt idx="4">
                  <c:v>88</c:v>
                </c:pt>
                <c:pt idx="5">
                  <c:v>88</c:v>
                </c:pt>
                <c:pt idx="6">
                  <c:v>88</c:v>
                </c:pt>
                <c:pt idx="7">
                  <c:v>88</c:v>
                </c:pt>
                <c:pt idx="8">
                  <c:v>88</c:v>
                </c:pt>
                <c:pt idx="9">
                  <c:v>88</c:v>
                </c:pt>
                <c:pt idx="10">
                  <c:v>88</c:v>
                </c:pt>
                <c:pt idx="11">
                  <c:v>88</c:v>
                </c:pt>
                <c:pt idx="12">
                  <c:v>88</c:v>
                </c:pt>
              </c:numCache>
            </c:numRef>
          </c:yVal>
          <c:smooth val="1"/>
          <c:extLst>
            <c:ext xmlns:c15="http://schemas.microsoft.com/office/drawing/2012/chart" uri="{02D57815-91ED-43cb-92C2-25804820EDAC}">
              <c15:datalabelsRange>
                <c15:f>Calcs!$U$4:$U$16</c15:f>
                <c15:dlblRangeCache>
                  <c:ptCount val="13"/>
                  <c:pt idx="0">
                    <c:v>8 pm</c:v>
                  </c:pt>
                  <c:pt idx="1">
                    <c:v>9 pm</c:v>
                  </c:pt>
                  <c:pt idx="2">
                    <c:v>10 pm</c:v>
                  </c:pt>
                  <c:pt idx="3">
                    <c:v>11 pm</c:v>
                  </c:pt>
                  <c:pt idx="4">
                    <c:v>0 am</c:v>
                  </c:pt>
                  <c:pt idx="5">
                    <c:v>1 am</c:v>
                  </c:pt>
                  <c:pt idx="6">
                    <c:v>2 am</c:v>
                  </c:pt>
                  <c:pt idx="7">
                    <c:v>3 am</c:v>
                  </c:pt>
                  <c:pt idx="8">
                    <c:v>4 am</c:v>
                  </c:pt>
                  <c:pt idx="9">
                    <c:v>5 am</c:v>
                  </c:pt>
                  <c:pt idx="10">
                    <c:v>6 am</c:v>
                  </c:pt>
                  <c:pt idx="11">
                    <c:v>7 am</c:v>
                  </c:pt>
                  <c:pt idx="12">
                    <c:v>8 am</c:v>
                  </c:pt>
                </c15:dlblRangeCache>
              </c15:datalabelsRange>
            </c:ext>
            <c:ext xmlns:c16="http://schemas.microsoft.com/office/drawing/2014/chart" uri="{C3380CC4-5D6E-409C-BE32-E72D297353CC}">
              <c16:uniqueId val="{0000006B-AD9F-9C41-B707-75C76EB144B4}"/>
            </c:ext>
          </c:extLst>
        </c:ser>
        <c:ser>
          <c:idx val="37"/>
          <c:order val="37"/>
          <c:tx>
            <c:v>Date</c:v>
          </c:tx>
          <c:marker>
            <c:symbol val="none"/>
          </c:marker>
          <c:dLbls>
            <c:dLbl>
              <c:idx val="0"/>
              <c:tx>
                <c:rich>
                  <a:bodyPr/>
                  <a:lstStyle/>
                  <a:p>
                    <a:fld id="{1B33B240-45C1-B042-A31B-D8A5CBD592B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FC3-0F4E-8504-C938481D641F}"/>
                </c:ext>
              </c:extLst>
            </c:dLbl>
            <c:spPr>
              <a:noFill/>
              <a:ln>
                <a:noFill/>
              </a:ln>
              <a:effectLst/>
            </c:spPr>
            <c:txPr>
              <a:bodyPr wrap="square" lIns="38100" tIns="19050" rIns="38100" bIns="19050" anchor="ctr">
                <a:spAutoFit/>
              </a:bodyPr>
              <a:lstStyle/>
              <a:p>
                <a:pPr>
                  <a:defRPr sz="1600">
                    <a:solidFill>
                      <a:schemeClr val="tx1">
                        <a:lumMod val="65000"/>
                        <a:lumOff val="35000"/>
                      </a:schemeClr>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Calcs!$S$20</c:f>
              <c:numCache>
                <c:formatCode>General</c:formatCode>
                <c:ptCount val="1"/>
                <c:pt idx="0">
                  <c:v>2</c:v>
                </c:pt>
              </c:numCache>
            </c:numRef>
          </c:xVal>
          <c:yVal>
            <c:numRef>
              <c:f>Calcs!$T$20</c:f>
              <c:numCache>
                <c:formatCode>General</c:formatCode>
                <c:ptCount val="1"/>
                <c:pt idx="0">
                  <c:v>90</c:v>
                </c:pt>
              </c:numCache>
            </c:numRef>
          </c:yVal>
          <c:smooth val="1"/>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FFC3-0F4E-8504-C938481D641F}"/>
            </c:ext>
          </c:extLst>
        </c:ser>
        <c:dLbls>
          <c:showLegendKey val="0"/>
          <c:showVal val="0"/>
          <c:showCatName val="0"/>
          <c:showSerName val="0"/>
          <c:showPercent val="0"/>
          <c:showBubbleSize val="0"/>
        </c:dLbls>
        <c:axId val="241103296"/>
        <c:axId val="580761936"/>
      </c:scatterChart>
      <c:valAx>
        <c:axId val="241103296"/>
        <c:scaling>
          <c:orientation val="minMax"/>
          <c:max val="1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UT (hr)</a:t>
                </a:r>
              </a:p>
            </c:rich>
          </c:tx>
          <c:overlay val="0"/>
          <c:spPr>
            <a:noFill/>
            <a:ln>
              <a:noFill/>
            </a:ln>
            <a:effectLst/>
          </c:sp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0761936"/>
        <c:crosses val="autoZero"/>
        <c:crossBetween val="midCat"/>
        <c:majorUnit val="1"/>
      </c:valAx>
      <c:valAx>
        <c:axId val="580761936"/>
        <c:scaling>
          <c:orientation val="minMax"/>
          <c:max val="9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Altitude (deg)</a:t>
                </a:r>
              </a:p>
            </c:rich>
          </c:tx>
          <c:overlay val="0"/>
          <c:spPr>
            <a:noFill/>
            <a:ln>
              <a:noFill/>
            </a:ln>
            <a:effectLst/>
          </c:spPr>
        </c:title>
        <c:numFmt formatCode="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1103296"/>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100000">
          <a:schemeClr val="accent2">
            <a:lumMod val="30000"/>
            <a:lumOff val="70000"/>
          </a:schemeClr>
        </a:gs>
      </a:gsLst>
      <a:lin ang="27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Objects</c:v>
          </c:tx>
          <c:spPr>
            <a:ln w="38100" cap="rnd">
              <a:noFill/>
              <a:round/>
            </a:ln>
            <a:effectLst/>
          </c:spPr>
          <c:marker>
            <c:symbol val="none"/>
          </c:marker>
          <c:dLbls>
            <c:dLbl>
              <c:idx val="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0-7934-D240-B2CF-E6312E41D70E}"/>
                </c:ext>
              </c:extLst>
            </c:dLbl>
            <c:dLbl>
              <c:idx val="1"/>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7934-D240-B2CF-E6312E41D70E}"/>
                </c:ext>
              </c:extLst>
            </c:dLbl>
            <c:dLbl>
              <c:idx val="2"/>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7934-D240-B2CF-E6312E41D70E}"/>
                </c:ext>
              </c:extLst>
            </c:dLbl>
            <c:dLbl>
              <c:idx val="3"/>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7934-D240-B2CF-E6312E41D70E}"/>
                </c:ext>
              </c:extLst>
            </c:dLbl>
            <c:dLbl>
              <c:idx val="4"/>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7934-D240-B2CF-E6312E41D70E}"/>
                </c:ext>
              </c:extLst>
            </c:dLbl>
            <c:dLbl>
              <c:idx val="5"/>
              <c:tx>
                <c:rich>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7934-D240-B2CF-E6312E41D70E}"/>
                </c:ext>
              </c:extLst>
            </c:dLbl>
            <c:dLbl>
              <c:idx val="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7934-D240-B2CF-E6312E41D70E}"/>
                </c:ext>
              </c:extLst>
            </c:dLbl>
            <c:dLbl>
              <c:idx val="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7934-D240-B2CF-E6312E41D70E}"/>
                </c:ext>
              </c:extLst>
            </c:dLbl>
            <c:dLbl>
              <c:idx val="8"/>
              <c:tx>
                <c:rich>
                  <a:bodyPr/>
                  <a:lstStyle/>
                  <a:p>
                    <a:fld id="{2C5B8519-8E1D-9C44-8C14-0E9D7D91FCD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934-D240-B2CF-E6312E41D70E}"/>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7934-D240-B2CF-E6312E41D70E}"/>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7934-D240-B2CF-E6312E41D70E}"/>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7934-D240-B2CF-E6312E41D70E}"/>
                </c:ext>
              </c:extLst>
            </c:dLbl>
            <c:dLbl>
              <c:idx val="1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7934-D240-B2CF-E6312E41D70E}"/>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7934-D240-B2CF-E6312E41D70E}"/>
                </c:ext>
              </c:extLst>
            </c:dLbl>
            <c:dLbl>
              <c:idx val="1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7934-D240-B2CF-E6312E41D70E}"/>
                </c:ext>
              </c:extLst>
            </c:dLbl>
            <c:dLbl>
              <c:idx val="1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7934-D240-B2CF-E6312E41D70E}"/>
                </c:ext>
              </c:extLst>
            </c:dLbl>
            <c:dLbl>
              <c:idx val="1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7934-D240-B2CF-E6312E41D70E}"/>
                </c:ext>
              </c:extLst>
            </c:dLbl>
            <c:dLbl>
              <c:idx val="1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7934-D240-B2CF-E6312E41D70E}"/>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7934-D240-B2CF-E6312E41D70E}"/>
                </c:ext>
              </c:extLst>
            </c:dLbl>
            <c:dLbl>
              <c:idx val="1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7934-D240-B2CF-E6312E41D70E}"/>
                </c:ext>
              </c:extLst>
            </c:dLbl>
            <c:dLbl>
              <c:idx val="2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7934-D240-B2CF-E6312E41D70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LUCI!$AS$4:$AS$24</c:f>
              <c:numCache>
                <c:formatCode>0.00</c:formatCode>
                <c:ptCount val="21"/>
                <c:pt idx="0">
                  <c:v>#N/A</c:v>
                </c:pt>
                <c:pt idx="1">
                  <c:v>#N/A</c:v>
                </c:pt>
                <c:pt idx="2">
                  <c:v>#N/A</c:v>
                </c:pt>
                <c:pt idx="3">
                  <c:v>#N/A</c:v>
                </c:pt>
                <c:pt idx="4">
                  <c:v>#N/A</c:v>
                </c:pt>
                <c:pt idx="5">
                  <c:v>#N/A</c:v>
                </c:pt>
                <c:pt idx="6">
                  <c:v>#N/A</c:v>
                </c:pt>
                <c:pt idx="7">
                  <c:v>#N/A</c:v>
                </c:pt>
                <c:pt idx="8">
                  <c:v>0.25560744689498605</c:v>
                </c:pt>
                <c:pt idx="9">
                  <c:v>#N/A</c:v>
                </c:pt>
                <c:pt idx="10">
                  <c:v>#N/A</c:v>
                </c:pt>
                <c:pt idx="11">
                  <c:v>#N/A</c:v>
                </c:pt>
                <c:pt idx="12">
                  <c:v>#N/A</c:v>
                </c:pt>
                <c:pt idx="13">
                  <c:v>#N/A</c:v>
                </c:pt>
                <c:pt idx="14">
                  <c:v>#N/A</c:v>
                </c:pt>
                <c:pt idx="15">
                  <c:v>#N/A</c:v>
                </c:pt>
                <c:pt idx="16">
                  <c:v>#N/A</c:v>
                </c:pt>
                <c:pt idx="17">
                  <c:v>#N/A</c:v>
                </c:pt>
                <c:pt idx="18">
                  <c:v>#N/A</c:v>
                </c:pt>
                <c:pt idx="19">
                  <c:v>#N/A</c:v>
                </c:pt>
                <c:pt idx="20">
                  <c:v>#N/A</c:v>
                </c:pt>
              </c:numCache>
            </c:numRef>
          </c:xVal>
          <c:yVal>
            <c:numRef>
              <c:f>LUCI!$AT$4:$AT$24</c:f>
              <c:numCache>
                <c:formatCode>0.00</c:formatCode>
                <c:ptCount val="21"/>
                <c:pt idx="0">
                  <c:v>#N/A</c:v>
                </c:pt>
                <c:pt idx="1">
                  <c:v>#N/A</c:v>
                </c:pt>
                <c:pt idx="2">
                  <c:v>#N/A</c:v>
                </c:pt>
                <c:pt idx="3">
                  <c:v>#N/A</c:v>
                </c:pt>
                <c:pt idx="4">
                  <c:v>#N/A</c:v>
                </c:pt>
                <c:pt idx="5">
                  <c:v>#N/A</c:v>
                </c:pt>
                <c:pt idx="6">
                  <c:v>#N/A</c:v>
                </c:pt>
                <c:pt idx="7">
                  <c:v>#N/A</c:v>
                </c:pt>
                <c:pt idx="8">
                  <c:v>-0.12936966527609153</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5="http://schemas.microsoft.com/office/drawing/2012/chart" uri="{02D57815-91ED-43cb-92C2-25804820EDAC}">
              <c15:datalabelsRange>
                <c15:f>LUCI!$W$4:$W$24</c15:f>
                <c15:dlblRangeCache>
                  <c:ptCount val="21"/>
                  <c:pt idx="0">
                    <c:v>Moon</c:v>
                  </c:pt>
                  <c:pt idx="1">
                    <c:v>J2229</c:v>
                  </c:pt>
                  <c:pt idx="3">
                    <c:v>J0042</c:v>
                  </c:pt>
                  <c:pt idx="4">
                    <c:v>J0158</c:v>
                  </c:pt>
                  <c:pt idx="5">
                    <c:v>J0224</c:v>
                  </c:pt>
                  <c:pt idx="6">
                    <c:v>J2031</c:v>
                  </c:pt>
                  <c:pt idx="8">
                    <c:v>Uranus</c:v>
                  </c:pt>
                </c15:dlblRangeCache>
              </c15:datalabelsRange>
            </c:ext>
            <c:ext xmlns:c16="http://schemas.microsoft.com/office/drawing/2014/chart" uri="{C3380CC4-5D6E-409C-BE32-E72D297353CC}">
              <c16:uniqueId val="{00000015-7934-D240-B2CF-E6312E41D70E}"/>
            </c:ext>
          </c:extLst>
        </c:ser>
        <c:ser>
          <c:idx val="2"/>
          <c:order val="1"/>
          <c:tx>
            <c:v>zenith</c:v>
          </c:tx>
          <c:spPr>
            <a:ln w="25400" cap="rnd">
              <a:noFill/>
              <a:round/>
            </a:ln>
            <a:effectLst/>
          </c:spPr>
          <c:marker>
            <c:symbol val="plus"/>
            <c:size val="7"/>
            <c:spPr>
              <a:noFill/>
              <a:ln w="15875">
                <a:solidFill>
                  <a:srgbClr val="FF0000"/>
                </a:solidFill>
              </a:ln>
              <a:effectLst/>
            </c:spPr>
          </c:marker>
          <c:xVal>
            <c:numRef>
              <c:f>Calcs!$S$53</c:f>
              <c:numCache>
                <c:formatCode>0.00</c:formatCode>
                <c:ptCount val="1"/>
                <c:pt idx="0">
                  <c:v>0</c:v>
                </c:pt>
              </c:numCache>
            </c:numRef>
          </c:xVal>
          <c:yVal>
            <c:numRef>
              <c:f>Calcs!$T$53</c:f>
              <c:numCache>
                <c:formatCode>General</c:formatCode>
                <c:ptCount val="1"/>
                <c:pt idx="0">
                  <c:v>0</c:v>
                </c:pt>
              </c:numCache>
            </c:numRef>
          </c:yVal>
          <c:smooth val="0"/>
          <c:extLst>
            <c:ext xmlns:c16="http://schemas.microsoft.com/office/drawing/2014/chart" uri="{C3380CC4-5D6E-409C-BE32-E72D297353CC}">
              <c16:uniqueId val="{00000016-7934-D240-B2CF-E6312E41D70E}"/>
            </c:ext>
          </c:extLst>
        </c:ser>
        <c:ser>
          <c:idx val="1"/>
          <c:order val="2"/>
          <c:tx>
            <c:v>Az 0</c:v>
          </c:tx>
          <c:spPr>
            <a:ln w="25400" cap="rnd">
              <a:noFill/>
              <a:round/>
            </a:ln>
            <a:effectLst/>
          </c:spPr>
          <c:marker>
            <c:symbol val="x"/>
            <c:size val="5"/>
            <c:spPr>
              <a:noFill/>
              <a:ln w="9525">
                <a:solidFill>
                  <a:srgbClr val="FF0000"/>
                </a:solidFill>
              </a:ln>
              <a:effectLst/>
            </c:spPr>
          </c:marker>
          <c:xVal>
            <c:numRef>
              <c:f>Calcs!$S$55:$S$59</c:f>
              <c:numCache>
                <c:formatCode>0.00</c:formatCode>
                <c:ptCount val="5"/>
                <c:pt idx="0">
                  <c:v>0</c:v>
                </c:pt>
                <c:pt idx="1">
                  <c:v>0</c:v>
                </c:pt>
                <c:pt idx="2">
                  <c:v>0</c:v>
                </c:pt>
                <c:pt idx="3">
                  <c:v>0</c:v>
                </c:pt>
                <c:pt idx="4">
                  <c:v>0</c:v>
                </c:pt>
              </c:numCache>
            </c:numRef>
          </c:xVal>
          <c:yVal>
            <c:numRef>
              <c:f>Calcs!$S$63:$S$67</c:f>
              <c:numCache>
                <c:formatCode>0.00</c:formatCode>
                <c:ptCount val="5"/>
                <c:pt idx="0">
                  <c:v>1</c:v>
                </c:pt>
                <c:pt idx="1">
                  <c:v>0.77777777777777779</c:v>
                </c:pt>
                <c:pt idx="2">
                  <c:v>0.55555555555555558</c:v>
                </c:pt>
                <c:pt idx="3">
                  <c:v>0.33333333333333331</c:v>
                </c:pt>
                <c:pt idx="4">
                  <c:v>0.1111111111111111</c:v>
                </c:pt>
              </c:numCache>
            </c:numRef>
          </c:yVal>
          <c:smooth val="0"/>
          <c:extLst>
            <c:ext xmlns:c16="http://schemas.microsoft.com/office/drawing/2014/chart" uri="{C3380CC4-5D6E-409C-BE32-E72D297353CC}">
              <c16:uniqueId val="{00000017-7934-D240-B2CF-E6312E41D70E}"/>
            </c:ext>
          </c:extLst>
        </c:ser>
        <c:ser>
          <c:idx val="3"/>
          <c:order val="3"/>
          <c:tx>
            <c:v>AZ 30</c:v>
          </c:tx>
          <c:spPr>
            <a:ln w="25400" cap="rnd">
              <a:noFill/>
              <a:round/>
            </a:ln>
            <a:effectLst/>
          </c:spPr>
          <c:marker>
            <c:symbol val="x"/>
            <c:size val="5"/>
            <c:spPr>
              <a:noFill/>
              <a:ln w="9525">
                <a:solidFill>
                  <a:srgbClr val="FF0000"/>
                </a:solidFill>
              </a:ln>
              <a:effectLst/>
            </c:spPr>
          </c:marker>
          <c:xVal>
            <c:numRef>
              <c:f>Calcs!$T$55:$T$59</c:f>
              <c:numCache>
                <c:formatCode>0.00</c:formatCode>
                <c:ptCount val="5"/>
                <c:pt idx="0">
                  <c:v>0.49999999999999994</c:v>
                </c:pt>
                <c:pt idx="1">
                  <c:v>0.38888888888888884</c:v>
                </c:pt>
                <c:pt idx="2">
                  <c:v>0.27777777777777773</c:v>
                </c:pt>
                <c:pt idx="3">
                  <c:v>0.16666666666666663</c:v>
                </c:pt>
                <c:pt idx="4">
                  <c:v>5.5555555555555546E-2</c:v>
                </c:pt>
              </c:numCache>
            </c:numRef>
          </c:xVal>
          <c:yVal>
            <c:numRef>
              <c:f>Calcs!$T$63:$T$67</c:f>
              <c:numCache>
                <c:formatCode>0.00</c:formatCode>
                <c:ptCount val="5"/>
                <c:pt idx="0">
                  <c:v>0.86602540378443871</c:v>
                </c:pt>
                <c:pt idx="1">
                  <c:v>0.6735753140545635</c:v>
                </c:pt>
                <c:pt idx="2">
                  <c:v>0.48112522432468818</c:v>
                </c:pt>
                <c:pt idx="3">
                  <c:v>0.28867513459481287</c:v>
                </c:pt>
                <c:pt idx="4">
                  <c:v>9.6225044864937631E-2</c:v>
                </c:pt>
              </c:numCache>
            </c:numRef>
          </c:yVal>
          <c:smooth val="0"/>
          <c:extLst>
            <c:ext xmlns:c16="http://schemas.microsoft.com/office/drawing/2014/chart" uri="{C3380CC4-5D6E-409C-BE32-E72D297353CC}">
              <c16:uniqueId val="{00000018-7934-D240-B2CF-E6312E41D70E}"/>
            </c:ext>
          </c:extLst>
        </c:ser>
        <c:ser>
          <c:idx val="4"/>
          <c:order val="4"/>
          <c:tx>
            <c:v>AZ 60</c:v>
          </c:tx>
          <c:spPr>
            <a:ln w="25400" cap="rnd">
              <a:noFill/>
              <a:round/>
            </a:ln>
            <a:effectLst/>
          </c:spPr>
          <c:marker>
            <c:symbol val="x"/>
            <c:size val="5"/>
            <c:spPr>
              <a:noFill/>
              <a:ln w="9525">
                <a:solidFill>
                  <a:srgbClr val="FF0000"/>
                </a:solidFill>
              </a:ln>
              <a:effectLst/>
            </c:spPr>
          </c:marker>
          <c:xVal>
            <c:numRef>
              <c:f>Calcs!$U$55:$U$59</c:f>
              <c:numCache>
                <c:formatCode>0.00</c:formatCode>
                <c:ptCount val="5"/>
                <c:pt idx="0">
                  <c:v>0.8660254037844386</c:v>
                </c:pt>
                <c:pt idx="1">
                  <c:v>0.67357531405456339</c:v>
                </c:pt>
                <c:pt idx="2">
                  <c:v>0.48112522432468813</c:v>
                </c:pt>
                <c:pt idx="3">
                  <c:v>0.28867513459481287</c:v>
                </c:pt>
                <c:pt idx="4">
                  <c:v>9.6225044864937617E-2</c:v>
                </c:pt>
              </c:numCache>
            </c:numRef>
          </c:xVal>
          <c:yVal>
            <c:numRef>
              <c:f>Calcs!$U$63:$U$67</c:f>
              <c:numCache>
                <c:formatCode>0.00</c:formatCode>
                <c:ptCount val="5"/>
                <c:pt idx="0">
                  <c:v>0.50000000000000011</c:v>
                </c:pt>
                <c:pt idx="1">
                  <c:v>0.38888888888888901</c:v>
                </c:pt>
                <c:pt idx="2">
                  <c:v>0.27777777777777785</c:v>
                </c:pt>
                <c:pt idx="3">
                  <c:v>0.16666666666666669</c:v>
                </c:pt>
                <c:pt idx="4">
                  <c:v>5.5555555555555566E-2</c:v>
                </c:pt>
              </c:numCache>
            </c:numRef>
          </c:yVal>
          <c:smooth val="0"/>
          <c:extLst>
            <c:ext xmlns:c16="http://schemas.microsoft.com/office/drawing/2014/chart" uri="{C3380CC4-5D6E-409C-BE32-E72D297353CC}">
              <c16:uniqueId val="{00000019-7934-D240-B2CF-E6312E41D70E}"/>
            </c:ext>
          </c:extLst>
        </c:ser>
        <c:ser>
          <c:idx val="5"/>
          <c:order val="5"/>
          <c:tx>
            <c:v>AZ 90</c:v>
          </c:tx>
          <c:spPr>
            <a:ln w="25400" cap="rnd">
              <a:noFill/>
              <a:round/>
            </a:ln>
            <a:effectLst/>
          </c:spPr>
          <c:marker>
            <c:symbol val="x"/>
            <c:size val="5"/>
            <c:spPr>
              <a:noFill/>
              <a:ln w="9525">
                <a:solidFill>
                  <a:srgbClr val="FF0000"/>
                </a:solidFill>
              </a:ln>
              <a:effectLst/>
            </c:spPr>
          </c:marker>
          <c:xVal>
            <c:numRef>
              <c:f>Calcs!$V$55:$V$59</c:f>
              <c:numCache>
                <c:formatCode>0.00</c:formatCode>
                <c:ptCount val="5"/>
                <c:pt idx="0">
                  <c:v>1</c:v>
                </c:pt>
                <c:pt idx="1">
                  <c:v>0.77777777777777779</c:v>
                </c:pt>
                <c:pt idx="2">
                  <c:v>0.55555555555555558</c:v>
                </c:pt>
                <c:pt idx="3">
                  <c:v>0.33333333333333331</c:v>
                </c:pt>
                <c:pt idx="4">
                  <c:v>0.1111111111111111</c:v>
                </c:pt>
              </c:numCache>
            </c:numRef>
          </c:xVal>
          <c:yVal>
            <c:numRef>
              <c:f>Calcs!$V$63:$V$67</c:f>
              <c:numCache>
                <c:formatCode>0.00</c:formatCode>
                <c:ptCount val="5"/>
                <c:pt idx="0">
                  <c:v>6.1257422745431001E-17</c:v>
                </c:pt>
                <c:pt idx="1">
                  <c:v>4.7644662135335224E-17</c:v>
                </c:pt>
                <c:pt idx="2">
                  <c:v>3.4031901525239447E-17</c:v>
                </c:pt>
                <c:pt idx="3">
                  <c:v>2.0419140915143665E-17</c:v>
                </c:pt>
                <c:pt idx="4">
                  <c:v>6.8063803050478883E-18</c:v>
                </c:pt>
              </c:numCache>
            </c:numRef>
          </c:yVal>
          <c:smooth val="0"/>
          <c:extLst>
            <c:ext xmlns:c16="http://schemas.microsoft.com/office/drawing/2014/chart" uri="{C3380CC4-5D6E-409C-BE32-E72D297353CC}">
              <c16:uniqueId val="{0000001A-7934-D240-B2CF-E6312E41D70E}"/>
            </c:ext>
          </c:extLst>
        </c:ser>
        <c:ser>
          <c:idx val="6"/>
          <c:order val="6"/>
          <c:tx>
            <c:v>AZ 120</c:v>
          </c:tx>
          <c:spPr>
            <a:ln w="25400" cap="rnd">
              <a:noFill/>
              <a:round/>
            </a:ln>
            <a:effectLst/>
          </c:spPr>
          <c:marker>
            <c:symbol val="x"/>
            <c:size val="5"/>
            <c:spPr>
              <a:noFill/>
              <a:ln w="9525">
                <a:solidFill>
                  <a:srgbClr val="FF0000"/>
                </a:solidFill>
              </a:ln>
              <a:effectLst/>
            </c:spPr>
          </c:marker>
          <c:xVal>
            <c:numRef>
              <c:f>Calcs!$W$55:$W$59</c:f>
              <c:numCache>
                <c:formatCode>0.00</c:formatCode>
                <c:ptCount val="5"/>
                <c:pt idx="0">
                  <c:v>0.86602540378443871</c:v>
                </c:pt>
                <c:pt idx="1">
                  <c:v>0.6735753140545635</c:v>
                </c:pt>
                <c:pt idx="2">
                  <c:v>0.48112522432468818</c:v>
                </c:pt>
                <c:pt idx="3">
                  <c:v>0.28867513459481287</c:v>
                </c:pt>
                <c:pt idx="4">
                  <c:v>9.6225044864937631E-2</c:v>
                </c:pt>
              </c:numCache>
            </c:numRef>
          </c:xVal>
          <c:yVal>
            <c:numRef>
              <c:f>Calcs!$W$63:$W$67</c:f>
              <c:numCache>
                <c:formatCode>0.00</c:formatCode>
                <c:ptCount val="5"/>
                <c:pt idx="0">
                  <c:v>-0.49999999999999978</c:v>
                </c:pt>
                <c:pt idx="1">
                  <c:v>-0.38888888888888873</c:v>
                </c:pt>
                <c:pt idx="2">
                  <c:v>-0.27777777777777768</c:v>
                </c:pt>
                <c:pt idx="3">
                  <c:v>-0.16666666666666657</c:v>
                </c:pt>
                <c:pt idx="4">
                  <c:v>-5.5555555555555525E-2</c:v>
                </c:pt>
              </c:numCache>
            </c:numRef>
          </c:yVal>
          <c:smooth val="0"/>
          <c:extLst>
            <c:ext xmlns:c16="http://schemas.microsoft.com/office/drawing/2014/chart" uri="{C3380CC4-5D6E-409C-BE32-E72D297353CC}">
              <c16:uniqueId val="{0000001B-7934-D240-B2CF-E6312E41D70E}"/>
            </c:ext>
          </c:extLst>
        </c:ser>
        <c:ser>
          <c:idx val="7"/>
          <c:order val="7"/>
          <c:tx>
            <c:v>AZ 150</c:v>
          </c:tx>
          <c:spPr>
            <a:ln w="25400" cap="rnd">
              <a:noFill/>
              <a:round/>
            </a:ln>
            <a:effectLst/>
          </c:spPr>
          <c:marker>
            <c:symbol val="x"/>
            <c:size val="5"/>
            <c:spPr>
              <a:noFill/>
              <a:ln w="9525">
                <a:solidFill>
                  <a:srgbClr val="FF0000"/>
                </a:solidFill>
              </a:ln>
              <a:effectLst/>
            </c:spPr>
          </c:marker>
          <c:xVal>
            <c:numRef>
              <c:f>Calcs!$X$55:$X$59</c:f>
              <c:numCache>
                <c:formatCode>0.00</c:formatCode>
                <c:ptCount val="5"/>
                <c:pt idx="0">
                  <c:v>0.49999999999999994</c:v>
                </c:pt>
                <c:pt idx="1">
                  <c:v>0.38888888888888884</c:v>
                </c:pt>
                <c:pt idx="2">
                  <c:v>0.27777777777777773</c:v>
                </c:pt>
                <c:pt idx="3">
                  <c:v>0.16666666666666663</c:v>
                </c:pt>
                <c:pt idx="4">
                  <c:v>5.5555555555555546E-2</c:v>
                </c:pt>
              </c:numCache>
            </c:numRef>
          </c:xVal>
          <c:yVal>
            <c:numRef>
              <c:f>Calcs!$X$63:$X$67</c:f>
              <c:numCache>
                <c:formatCode>0.00</c:formatCode>
                <c:ptCount val="5"/>
                <c:pt idx="0">
                  <c:v>-0.86602540378443871</c:v>
                </c:pt>
                <c:pt idx="1">
                  <c:v>-0.6735753140545635</c:v>
                </c:pt>
                <c:pt idx="2">
                  <c:v>-0.48112522432468818</c:v>
                </c:pt>
                <c:pt idx="3">
                  <c:v>-0.28867513459481287</c:v>
                </c:pt>
                <c:pt idx="4">
                  <c:v>-9.6225044864937631E-2</c:v>
                </c:pt>
              </c:numCache>
            </c:numRef>
          </c:yVal>
          <c:smooth val="0"/>
          <c:extLst>
            <c:ext xmlns:c16="http://schemas.microsoft.com/office/drawing/2014/chart" uri="{C3380CC4-5D6E-409C-BE32-E72D297353CC}">
              <c16:uniqueId val="{0000001C-7934-D240-B2CF-E6312E41D70E}"/>
            </c:ext>
          </c:extLst>
        </c:ser>
        <c:ser>
          <c:idx val="8"/>
          <c:order val="8"/>
          <c:tx>
            <c:v>AZ 180</c:v>
          </c:tx>
          <c:spPr>
            <a:ln w="25400" cap="rnd">
              <a:noFill/>
              <a:round/>
            </a:ln>
            <a:effectLst/>
          </c:spPr>
          <c:marker>
            <c:symbol val="x"/>
            <c:size val="5"/>
            <c:spPr>
              <a:noFill/>
              <a:ln w="9525">
                <a:solidFill>
                  <a:srgbClr val="FF0000"/>
                </a:solidFill>
              </a:ln>
              <a:effectLst/>
            </c:spPr>
          </c:marker>
          <c:xVal>
            <c:numRef>
              <c:f>Calcs!$Y$55:$Y$59</c:f>
              <c:numCache>
                <c:formatCode>0.00</c:formatCode>
                <c:ptCount val="5"/>
                <c:pt idx="0">
                  <c:v>1.22514845490862E-16</c:v>
                </c:pt>
                <c:pt idx="1">
                  <c:v>9.5289324270670448E-17</c:v>
                </c:pt>
                <c:pt idx="2">
                  <c:v>6.8063803050478895E-17</c:v>
                </c:pt>
                <c:pt idx="3">
                  <c:v>4.083828183028733E-17</c:v>
                </c:pt>
                <c:pt idx="4">
                  <c:v>1.3612760610095777E-17</c:v>
                </c:pt>
              </c:numCache>
            </c:numRef>
          </c:xVal>
          <c:yVal>
            <c:numRef>
              <c:f>Calcs!$Y$63:$Y$67</c:f>
              <c:numCache>
                <c:formatCode>0.00</c:formatCode>
                <c:ptCount val="5"/>
                <c:pt idx="0">
                  <c:v>-1</c:v>
                </c:pt>
                <c:pt idx="1">
                  <c:v>-0.77777777777777779</c:v>
                </c:pt>
                <c:pt idx="2">
                  <c:v>-0.55555555555555558</c:v>
                </c:pt>
                <c:pt idx="3">
                  <c:v>-0.33333333333333331</c:v>
                </c:pt>
                <c:pt idx="4">
                  <c:v>-0.1111111111111111</c:v>
                </c:pt>
              </c:numCache>
            </c:numRef>
          </c:yVal>
          <c:smooth val="0"/>
          <c:extLst>
            <c:ext xmlns:c16="http://schemas.microsoft.com/office/drawing/2014/chart" uri="{C3380CC4-5D6E-409C-BE32-E72D297353CC}">
              <c16:uniqueId val="{0000001D-7934-D240-B2CF-E6312E41D70E}"/>
            </c:ext>
          </c:extLst>
        </c:ser>
        <c:ser>
          <c:idx val="9"/>
          <c:order val="9"/>
          <c:tx>
            <c:v>AZ 210</c:v>
          </c:tx>
          <c:spPr>
            <a:ln w="25400" cap="rnd">
              <a:noFill/>
              <a:round/>
            </a:ln>
            <a:effectLst/>
          </c:spPr>
          <c:marker>
            <c:symbol val="x"/>
            <c:size val="5"/>
            <c:spPr>
              <a:noFill/>
              <a:ln w="9525">
                <a:solidFill>
                  <a:srgbClr val="FF0000"/>
                </a:solidFill>
              </a:ln>
              <a:effectLst/>
            </c:spPr>
          </c:marker>
          <c:xVal>
            <c:numRef>
              <c:f>Calcs!$Z$55:$Z$59</c:f>
              <c:numCache>
                <c:formatCode>0.00</c:formatCode>
                <c:ptCount val="5"/>
                <c:pt idx="0">
                  <c:v>-0.50000000000000011</c:v>
                </c:pt>
                <c:pt idx="1">
                  <c:v>-0.38888888888888901</c:v>
                </c:pt>
                <c:pt idx="2">
                  <c:v>-0.27777777777777785</c:v>
                </c:pt>
                <c:pt idx="3">
                  <c:v>-0.16666666666666669</c:v>
                </c:pt>
                <c:pt idx="4">
                  <c:v>-5.5555555555555566E-2</c:v>
                </c:pt>
              </c:numCache>
            </c:numRef>
          </c:xVal>
          <c:yVal>
            <c:numRef>
              <c:f>Calcs!$Z$63:$Z$67</c:f>
              <c:numCache>
                <c:formatCode>0.00</c:formatCode>
                <c:ptCount val="5"/>
                <c:pt idx="0">
                  <c:v>-0.8660254037844386</c:v>
                </c:pt>
                <c:pt idx="1">
                  <c:v>-0.67357531405456339</c:v>
                </c:pt>
                <c:pt idx="2">
                  <c:v>-0.48112522432468813</c:v>
                </c:pt>
                <c:pt idx="3">
                  <c:v>-0.28867513459481287</c:v>
                </c:pt>
                <c:pt idx="4">
                  <c:v>-9.6225044864937617E-2</c:v>
                </c:pt>
              </c:numCache>
            </c:numRef>
          </c:yVal>
          <c:smooth val="0"/>
          <c:extLst>
            <c:ext xmlns:c16="http://schemas.microsoft.com/office/drawing/2014/chart" uri="{C3380CC4-5D6E-409C-BE32-E72D297353CC}">
              <c16:uniqueId val="{0000001E-7934-D240-B2CF-E6312E41D70E}"/>
            </c:ext>
          </c:extLst>
        </c:ser>
        <c:ser>
          <c:idx val="10"/>
          <c:order val="10"/>
          <c:tx>
            <c:v>AZ 240</c:v>
          </c:tx>
          <c:spPr>
            <a:ln w="25400" cap="rnd">
              <a:noFill/>
              <a:round/>
            </a:ln>
            <a:effectLst/>
          </c:spPr>
          <c:marker>
            <c:symbol val="x"/>
            <c:size val="5"/>
            <c:spPr>
              <a:noFill/>
              <a:ln w="9525">
                <a:solidFill>
                  <a:srgbClr val="FF0000"/>
                </a:solidFill>
              </a:ln>
              <a:effectLst/>
            </c:spPr>
          </c:marker>
          <c:xVal>
            <c:numRef>
              <c:f>Calcs!$AA$55:$AA$59</c:f>
              <c:numCache>
                <c:formatCode>0.00</c:formatCode>
                <c:ptCount val="5"/>
                <c:pt idx="0">
                  <c:v>-0.86602540378443837</c:v>
                </c:pt>
                <c:pt idx="1">
                  <c:v>-0.67357531405456317</c:v>
                </c:pt>
                <c:pt idx="2">
                  <c:v>-0.48112522432468802</c:v>
                </c:pt>
                <c:pt idx="3">
                  <c:v>-0.28867513459481275</c:v>
                </c:pt>
                <c:pt idx="4">
                  <c:v>-9.6225044864937589E-2</c:v>
                </c:pt>
              </c:numCache>
            </c:numRef>
          </c:xVal>
          <c:yVal>
            <c:numRef>
              <c:f>Calcs!$AA$63:$AA$67</c:f>
              <c:numCache>
                <c:formatCode>0.00</c:formatCode>
                <c:ptCount val="5"/>
                <c:pt idx="0">
                  <c:v>-0.50000000000000044</c:v>
                </c:pt>
                <c:pt idx="1">
                  <c:v>-0.38888888888888923</c:v>
                </c:pt>
                <c:pt idx="2">
                  <c:v>-0.27777777777777801</c:v>
                </c:pt>
                <c:pt idx="3">
                  <c:v>-0.1666666666666668</c:v>
                </c:pt>
                <c:pt idx="4">
                  <c:v>-5.5555555555555601E-2</c:v>
                </c:pt>
              </c:numCache>
            </c:numRef>
          </c:yVal>
          <c:smooth val="0"/>
          <c:extLst>
            <c:ext xmlns:c16="http://schemas.microsoft.com/office/drawing/2014/chart" uri="{C3380CC4-5D6E-409C-BE32-E72D297353CC}">
              <c16:uniqueId val="{0000001F-7934-D240-B2CF-E6312E41D70E}"/>
            </c:ext>
          </c:extLst>
        </c:ser>
        <c:ser>
          <c:idx val="11"/>
          <c:order val="11"/>
          <c:tx>
            <c:v>AZ 270</c:v>
          </c:tx>
          <c:spPr>
            <a:ln w="25400" cap="rnd">
              <a:noFill/>
              <a:round/>
            </a:ln>
            <a:effectLst/>
          </c:spPr>
          <c:marker>
            <c:symbol val="x"/>
            <c:size val="5"/>
            <c:spPr>
              <a:noFill/>
              <a:ln w="9525">
                <a:solidFill>
                  <a:srgbClr val="FF0000"/>
                </a:solidFill>
              </a:ln>
              <a:effectLst/>
            </c:spPr>
          </c:marker>
          <c:xVal>
            <c:numRef>
              <c:f>Calcs!$AB$55:$AB$59</c:f>
              <c:numCache>
                <c:formatCode>0.00</c:formatCode>
                <c:ptCount val="5"/>
                <c:pt idx="0">
                  <c:v>-1</c:v>
                </c:pt>
                <c:pt idx="1">
                  <c:v>-0.77777777777777779</c:v>
                </c:pt>
                <c:pt idx="2">
                  <c:v>-0.55555555555555558</c:v>
                </c:pt>
                <c:pt idx="3">
                  <c:v>-0.33333333333333331</c:v>
                </c:pt>
                <c:pt idx="4">
                  <c:v>-0.1111111111111111</c:v>
                </c:pt>
              </c:numCache>
            </c:numRef>
          </c:xVal>
          <c:yVal>
            <c:numRef>
              <c:f>Calcs!$AB$63:$AB$67</c:f>
              <c:numCache>
                <c:formatCode>0.00</c:formatCode>
                <c:ptCount val="5"/>
                <c:pt idx="0">
                  <c:v>-1.83772268236293E-16</c:v>
                </c:pt>
                <c:pt idx="1">
                  <c:v>-1.4293398640600566E-16</c:v>
                </c:pt>
                <c:pt idx="2">
                  <c:v>-1.0209570457571834E-16</c:v>
                </c:pt>
                <c:pt idx="3">
                  <c:v>-6.1257422745431001E-17</c:v>
                </c:pt>
                <c:pt idx="4">
                  <c:v>-2.0419140915143665E-17</c:v>
                </c:pt>
              </c:numCache>
            </c:numRef>
          </c:yVal>
          <c:smooth val="0"/>
          <c:extLst>
            <c:ext xmlns:c16="http://schemas.microsoft.com/office/drawing/2014/chart" uri="{C3380CC4-5D6E-409C-BE32-E72D297353CC}">
              <c16:uniqueId val="{00000020-7934-D240-B2CF-E6312E41D70E}"/>
            </c:ext>
          </c:extLst>
        </c:ser>
        <c:ser>
          <c:idx val="12"/>
          <c:order val="12"/>
          <c:tx>
            <c:v>AZ 300</c:v>
          </c:tx>
          <c:spPr>
            <a:ln w="25400" cap="rnd">
              <a:noFill/>
              <a:round/>
            </a:ln>
            <a:effectLst/>
          </c:spPr>
          <c:marker>
            <c:symbol val="x"/>
            <c:size val="5"/>
            <c:spPr>
              <a:noFill/>
              <a:ln w="9525">
                <a:solidFill>
                  <a:srgbClr val="FF0000"/>
                </a:solidFill>
              </a:ln>
              <a:effectLst/>
            </c:spPr>
          </c:marker>
          <c:xVal>
            <c:numRef>
              <c:f>Calcs!$AC$55:$AC$59</c:f>
              <c:numCache>
                <c:formatCode>0.00</c:formatCode>
                <c:ptCount val="5"/>
                <c:pt idx="0">
                  <c:v>-0.8660254037844386</c:v>
                </c:pt>
                <c:pt idx="1">
                  <c:v>-0.67357531405456339</c:v>
                </c:pt>
                <c:pt idx="2">
                  <c:v>-0.48112522432468813</c:v>
                </c:pt>
                <c:pt idx="3">
                  <c:v>-0.28867513459481287</c:v>
                </c:pt>
                <c:pt idx="4">
                  <c:v>-9.6225044864937617E-2</c:v>
                </c:pt>
              </c:numCache>
            </c:numRef>
          </c:xVal>
          <c:yVal>
            <c:numRef>
              <c:f>Calcs!$AC$63:$AC$67</c:f>
              <c:numCache>
                <c:formatCode>0.00</c:formatCode>
                <c:ptCount val="5"/>
                <c:pt idx="0">
                  <c:v>0.50000000000000011</c:v>
                </c:pt>
                <c:pt idx="1">
                  <c:v>0.38888888888888901</c:v>
                </c:pt>
                <c:pt idx="2">
                  <c:v>0.27777777777777785</c:v>
                </c:pt>
                <c:pt idx="3">
                  <c:v>0.16666666666666669</c:v>
                </c:pt>
                <c:pt idx="4">
                  <c:v>5.5555555555555566E-2</c:v>
                </c:pt>
              </c:numCache>
            </c:numRef>
          </c:yVal>
          <c:smooth val="0"/>
          <c:extLst>
            <c:ext xmlns:c16="http://schemas.microsoft.com/office/drawing/2014/chart" uri="{C3380CC4-5D6E-409C-BE32-E72D297353CC}">
              <c16:uniqueId val="{00000021-7934-D240-B2CF-E6312E41D70E}"/>
            </c:ext>
          </c:extLst>
        </c:ser>
        <c:ser>
          <c:idx val="13"/>
          <c:order val="13"/>
          <c:tx>
            <c:v>AZ 330</c:v>
          </c:tx>
          <c:spPr>
            <a:ln w="25400" cap="rnd">
              <a:noFill/>
              <a:round/>
            </a:ln>
            <a:effectLst/>
          </c:spPr>
          <c:marker>
            <c:symbol val="x"/>
            <c:size val="5"/>
            <c:spPr>
              <a:noFill/>
              <a:ln w="9525">
                <a:solidFill>
                  <a:srgbClr val="FF0000"/>
                </a:solidFill>
              </a:ln>
              <a:effectLst/>
            </c:spPr>
          </c:marker>
          <c:xVal>
            <c:numRef>
              <c:f>Calcs!$AD$55:$AD$59</c:f>
              <c:numCache>
                <c:formatCode>0.00</c:formatCode>
                <c:ptCount val="5"/>
                <c:pt idx="0">
                  <c:v>-0.50000000000000044</c:v>
                </c:pt>
                <c:pt idx="1">
                  <c:v>-0.38888888888888923</c:v>
                </c:pt>
                <c:pt idx="2">
                  <c:v>-0.27777777777777801</c:v>
                </c:pt>
                <c:pt idx="3">
                  <c:v>-0.1666666666666668</c:v>
                </c:pt>
                <c:pt idx="4">
                  <c:v>-5.5555555555555601E-2</c:v>
                </c:pt>
              </c:numCache>
            </c:numRef>
          </c:xVal>
          <c:yVal>
            <c:numRef>
              <c:f>Calcs!$AD$63:$AD$67</c:f>
              <c:numCache>
                <c:formatCode>0.00</c:formatCode>
                <c:ptCount val="5"/>
                <c:pt idx="0">
                  <c:v>0.86602540378443837</c:v>
                </c:pt>
                <c:pt idx="1">
                  <c:v>0.67357531405456317</c:v>
                </c:pt>
                <c:pt idx="2">
                  <c:v>0.48112522432468802</c:v>
                </c:pt>
                <c:pt idx="3">
                  <c:v>0.28867513459481275</c:v>
                </c:pt>
                <c:pt idx="4">
                  <c:v>9.6225044864937589E-2</c:v>
                </c:pt>
              </c:numCache>
            </c:numRef>
          </c:yVal>
          <c:smooth val="0"/>
          <c:extLst>
            <c:ext xmlns:c16="http://schemas.microsoft.com/office/drawing/2014/chart" uri="{C3380CC4-5D6E-409C-BE32-E72D297353CC}">
              <c16:uniqueId val="{00000022-7934-D240-B2CF-E6312E41D70E}"/>
            </c:ext>
          </c:extLst>
        </c:ser>
        <c:ser>
          <c:idx val="14"/>
          <c:order val="14"/>
          <c:tx>
            <c:v>Cardinal Directions</c:v>
          </c:tx>
          <c:spPr>
            <a:ln w="25400" cap="rnd">
              <a:noFill/>
              <a:round/>
            </a:ln>
            <a:effectLst/>
          </c:spPr>
          <c:marker>
            <c:symbol val="none"/>
          </c:marker>
          <c:dLbls>
            <c:dLbl>
              <c:idx val="0"/>
              <c:tx>
                <c:rich>
                  <a:bodyPr/>
                  <a:lstStyle/>
                  <a:p>
                    <a:fld id="{9D20C27C-20C4-214F-A691-E0E626BA38D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7934-D240-B2CF-E6312E41D70E}"/>
                </c:ext>
              </c:extLst>
            </c:dLbl>
            <c:dLbl>
              <c:idx val="1"/>
              <c:tx>
                <c:rich>
                  <a:bodyPr/>
                  <a:lstStyle/>
                  <a:p>
                    <a:fld id="{18E16C18-EBD4-9643-AE9D-43202B0EF0A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7934-D240-B2CF-E6312E41D70E}"/>
                </c:ext>
              </c:extLst>
            </c:dLbl>
            <c:dLbl>
              <c:idx val="2"/>
              <c:tx>
                <c:rich>
                  <a:bodyPr/>
                  <a:lstStyle/>
                  <a:p>
                    <a:fld id="{5E7AE748-5D2D-494A-827C-7BFD3D4256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7934-D240-B2CF-E6312E41D70E}"/>
                </c:ext>
              </c:extLst>
            </c:dLbl>
            <c:dLbl>
              <c:idx val="3"/>
              <c:tx>
                <c:rich>
                  <a:bodyPr/>
                  <a:lstStyle/>
                  <a:p>
                    <a:fld id="{68FB5723-495B-CF47-B6E1-87E9EC68F7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7934-D240-B2CF-E6312E41D70E}"/>
                </c:ext>
              </c:extLst>
            </c:dLbl>
            <c:dLbl>
              <c:idx val="4"/>
              <c:tx>
                <c:rich>
                  <a:bodyPr/>
                  <a:lstStyle/>
                  <a:p>
                    <a:fld id="{CDF1B4EE-918B-B242-9E1D-C870DB154AC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7934-D240-B2CF-E6312E41D70E}"/>
                </c:ext>
              </c:extLst>
            </c:dLbl>
            <c:dLbl>
              <c:idx val="5"/>
              <c:tx>
                <c:rich>
                  <a:bodyPr/>
                  <a:lstStyle/>
                  <a:p>
                    <a:fld id="{C185BE2A-EB8B-7749-8AD6-F101F1A0C16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7934-D240-B2CF-E6312E41D70E}"/>
                </c:ext>
              </c:extLst>
            </c:dLbl>
            <c:dLbl>
              <c:idx val="6"/>
              <c:tx>
                <c:rich>
                  <a:bodyPr/>
                  <a:lstStyle/>
                  <a:p>
                    <a:fld id="{DB5E9510-41B5-1F4F-9F70-90D2C40BF7A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7934-D240-B2CF-E6312E41D70E}"/>
                </c:ext>
              </c:extLst>
            </c:dLbl>
            <c:dLbl>
              <c:idx val="7"/>
              <c:tx>
                <c:rich>
                  <a:bodyPr/>
                  <a:lstStyle/>
                  <a:p>
                    <a:fld id="{2C5607B0-DEB2-BD49-B8ED-535A9319B69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7934-D240-B2CF-E6312E41D70E}"/>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Calcs!$O$55:$O$62</c:f>
              <c:numCache>
                <c:formatCode>0.00</c:formatCode>
                <c:ptCount val="8"/>
                <c:pt idx="0">
                  <c:v>0</c:v>
                </c:pt>
                <c:pt idx="1">
                  <c:v>-0.7778174593052023</c:v>
                </c:pt>
                <c:pt idx="2">
                  <c:v>-1.1000000000000001</c:v>
                </c:pt>
                <c:pt idx="3">
                  <c:v>-0.77781745930520241</c:v>
                </c:pt>
                <c:pt idx="4">
                  <c:v>-1.347663300399482E-16</c:v>
                </c:pt>
                <c:pt idx="5">
                  <c:v>0.7778174593052023</c:v>
                </c:pt>
                <c:pt idx="6">
                  <c:v>1.1000000000000001</c:v>
                </c:pt>
                <c:pt idx="7">
                  <c:v>0.77781745930520252</c:v>
                </c:pt>
              </c:numCache>
            </c:numRef>
          </c:xVal>
          <c:yVal>
            <c:numRef>
              <c:f>Calcs!$P$55:$P$62</c:f>
              <c:numCache>
                <c:formatCode>0.00</c:formatCode>
                <c:ptCount val="8"/>
                <c:pt idx="0">
                  <c:v>1.1000000000000001</c:v>
                </c:pt>
                <c:pt idx="1">
                  <c:v>0.77781745930520241</c:v>
                </c:pt>
                <c:pt idx="2">
                  <c:v>6.7383165019974101E-17</c:v>
                </c:pt>
                <c:pt idx="3">
                  <c:v>-0.7778174593052023</c:v>
                </c:pt>
                <c:pt idx="4">
                  <c:v>-1.1000000000000001</c:v>
                </c:pt>
                <c:pt idx="5">
                  <c:v>-0.77781745930520252</c:v>
                </c:pt>
                <c:pt idx="6">
                  <c:v>-2.0214949505992233E-16</c:v>
                </c:pt>
                <c:pt idx="7">
                  <c:v>0.77781745930520219</c:v>
                </c:pt>
              </c:numCache>
            </c:numRef>
          </c:yVal>
          <c:smooth val="0"/>
          <c:extLst>
            <c:ext xmlns:c15="http://schemas.microsoft.com/office/drawing/2012/chart" uri="{02D57815-91ED-43cb-92C2-25804820EDAC}">
              <c15:datalabelsRange>
                <c15:f>Calcs!$M$55:$M$62</c15:f>
                <c15:dlblRangeCache>
                  <c:ptCount val="8"/>
                  <c:pt idx="0">
                    <c:v>N</c:v>
                  </c:pt>
                  <c:pt idx="1">
                    <c:v>NE</c:v>
                  </c:pt>
                  <c:pt idx="2">
                    <c:v>E</c:v>
                  </c:pt>
                  <c:pt idx="3">
                    <c:v>SE</c:v>
                  </c:pt>
                  <c:pt idx="4">
                    <c:v>S</c:v>
                  </c:pt>
                  <c:pt idx="5">
                    <c:v>SW</c:v>
                  </c:pt>
                  <c:pt idx="6">
                    <c:v>W</c:v>
                  </c:pt>
                  <c:pt idx="7">
                    <c:v>NW</c:v>
                  </c:pt>
                </c15:dlblRangeCache>
              </c15:datalabelsRange>
            </c:ext>
            <c:ext xmlns:c16="http://schemas.microsoft.com/office/drawing/2014/chart" uri="{C3380CC4-5D6E-409C-BE32-E72D297353CC}">
              <c16:uniqueId val="{0000002B-7934-D240-B2CF-E6312E41D70E}"/>
            </c:ext>
          </c:extLst>
        </c:ser>
        <c:ser>
          <c:idx val="15"/>
          <c:order val="15"/>
          <c:tx>
            <c:v>Gal Plane</c:v>
          </c:tx>
          <c:spPr>
            <a:ln w="19050" cap="rnd">
              <a:solidFill>
                <a:schemeClr val="bg1">
                  <a:lumMod val="50000"/>
                  <a:alpha val="55000"/>
                </a:schemeClr>
              </a:solidFill>
              <a:prstDash val="dash"/>
              <a:round/>
            </a:ln>
            <a:effectLst/>
          </c:spPr>
          <c:marker>
            <c:symbol val="none"/>
          </c:marker>
          <c:xVal>
            <c:numRef>
              <c:f>LUCI!$BK$42:$BK$54</c:f>
              <c:numCache>
                <c:formatCode>0.00</c:formatCode>
                <c:ptCount val="13"/>
                <c:pt idx="0">
                  <c:v>0.29599070581445414</c:v>
                </c:pt>
                <c:pt idx="1">
                  <c:v>0.51563098689235554</c:v>
                </c:pt>
                <c:pt idx="2">
                  <c:v>#N/A</c:v>
                </c:pt>
                <c:pt idx="3">
                  <c:v>#N/A</c:v>
                </c:pt>
                <c:pt idx="4">
                  <c:v>#N/A</c:v>
                </c:pt>
                <c:pt idx="5">
                  <c:v>#N/A</c:v>
                </c:pt>
                <c:pt idx="6">
                  <c:v>#N/A</c:v>
                </c:pt>
                <c:pt idx="7">
                  <c:v>#N/A</c:v>
                </c:pt>
                <c:pt idx="8">
                  <c:v>-0.48843293875316263</c:v>
                </c:pt>
                <c:pt idx="9">
                  <c:v>-0.30604099617233149</c:v>
                </c:pt>
                <c:pt idx="10">
                  <c:v>-0.11355310481009354</c:v>
                </c:pt>
                <c:pt idx="11">
                  <c:v>8.7071895085367904E-2</c:v>
                </c:pt>
                <c:pt idx="12">
                  <c:v>0.29599070581445414</c:v>
                </c:pt>
              </c:numCache>
            </c:numRef>
          </c:xVal>
          <c:yVal>
            <c:numRef>
              <c:f>LUCI!$BL$42:$BL$54</c:f>
              <c:numCache>
                <c:formatCode>0.00</c:formatCode>
                <c:ptCount val="13"/>
                <c:pt idx="0">
                  <c:v>0.46304551023701396</c:v>
                </c:pt>
                <c:pt idx="1">
                  <c:v>0.71483295843521655</c:v>
                </c:pt>
                <c:pt idx="2">
                  <c:v>#N/A</c:v>
                </c:pt>
                <c:pt idx="3">
                  <c:v>#N/A</c:v>
                </c:pt>
                <c:pt idx="4">
                  <c:v>#N/A</c:v>
                </c:pt>
                <c:pt idx="5">
                  <c:v>#N/A</c:v>
                </c:pt>
                <c:pt idx="6">
                  <c:v>#N/A</c:v>
                </c:pt>
                <c:pt idx="7">
                  <c:v>#N/A</c:v>
                </c:pt>
                <c:pt idx="8">
                  <c:v>-0.61642371666321993</c:v>
                </c:pt>
                <c:pt idx="9">
                  <c:v>-0.33663556202649902</c:v>
                </c:pt>
                <c:pt idx="10">
                  <c:v>-6.3971820923559505E-2</c:v>
                </c:pt>
                <c:pt idx="11">
                  <c:v>0.20270727841241976</c:v>
                </c:pt>
                <c:pt idx="12">
                  <c:v>0.46304551023701396</c:v>
                </c:pt>
              </c:numCache>
            </c:numRef>
          </c:yVal>
          <c:smooth val="1"/>
          <c:extLst>
            <c:ext xmlns:c16="http://schemas.microsoft.com/office/drawing/2014/chart" uri="{C3380CC4-5D6E-409C-BE32-E72D297353CC}">
              <c16:uniqueId val="{0000002C-7934-D240-B2CF-E6312E41D70E}"/>
            </c:ext>
          </c:extLst>
        </c:ser>
        <c:ser>
          <c:idx val="16"/>
          <c:order val="16"/>
          <c:tx>
            <c:v>Gal Cent</c:v>
          </c:tx>
          <c:spPr>
            <a:ln w="25400" cap="rnd">
              <a:noFill/>
              <a:round/>
            </a:ln>
            <a:effectLst/>
          </c:spPr>
          <c:marker>
            <c:symbol val="none"/>
          </c:marker>
          <c:dLbls>
            <c:dLbl>
              <c:idx val="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7934-D240-B2CF-E6312E41D70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LUCI!$BK$56</c:f>
              <c:numCache>
                <c:formatCode>0.00</c:formatCode>
                <c:ptCount val="1"/>
                <c:pt idx="0">
                  <c:v>#N/A</c:v>
                </c:pt>
              </c:numCache>
            </c:numRef>
          </c:xVal>
          <c:yVal>
            <c:numRef>
              <c:f>LUCI!$BL$56</c:f>
              <c:numCache>
                <c:formatCode>0.00</c:formatCode>
                <c:ptCount val="1"/>
                <c:pt idx="0">
                  <c:v>#N/A</c:v>
                </c:pt>
              </c:numCache>
            </c:numRef>
          </c:yVal>
          <c:smooth val="0"/>
          <c:extLst>
            <c:ext xmlns:c15="http://schemas.microsoft.com/office/drawing/2012/chart" uri="{02D57815-91ED-43cb-92C2-25804820EDAC}">
              <c15:datalabelsRange>
                <c15:f>LUCI!$BG$56</c15:f>
                <c15:dlblRangeCache>
                  <c:ptCount val="1"/>
                  <c:pt idx="0">
                    <c:v>GC</c:v>
                  </c:pt>
                </c15:dlblRangeCache>
              </c15:datalabelsRange>
            </c:ext>
            <c:ext xmlns:c16="http://schemas.microsoft.com/office/drawing/2014/chart" uri="{C3380CC4-5D6E-409C-BE32-E72D297353CC}">
              <c16:uniqueId val="{0000002E-7934-D240-B2CF-E6312E41D70E}"/>
            </c:ext>
          </c:extLst>
        </c:ser>
        <c:ser>
          <c:idx val="17"/>
          <c:order val="17"/>
          <c:tx>
            <c:v>MODS UT=</c:v>
          </c:tx>
          <c:spPr>
            <a:ln w="25400" cap="rnd">
              <a:noFill/>
              <a:round/>
            </a:ln>
            <a:effectLst/>
          </c:spPr>
          <c:marker>
            <c:symbol val="none"/>
          </c:marker>
          <c:dLbls>
            <c:dLbl>
              <c:idx val="0"/>
              <c:tx>
                <c:rich>
                  <a:bodyPr/>
                  <a:lstStyle/>
                  <a:p>
                    <a:fld id="{F8D0753D-84C3-054C-BE72-D28FA2492F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7934-D240-B2CF-E6312E41D70E}"/>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LUCI!$BO$46</c:f>
              <c:numCache>
                <c:formatCode>General</c:formatCode>
                <c:ptCount val="1"/>
                <c:pt idx="0">
                  <c:v>0.7</c:v>
                </c:pt>
              </c:numCache>
            </c:numRef>
          </c:xVal>
          <c:yVal>
            <c:numRef>
              <c:f>LUCI!$BP$46</c:f>
              <c:numCache>
                <c:formatCode>General</c:formatCode>
                <c:ptCount val="1"/>
                <c:pt idx="0">
                  <c:v>1.08</c:v>
                </c:pt>
              </c:numCache>
            </c:numRef>
          </c:yVal>
          <c:smooth val="0"/>
          <c:extLst>
            <c:ext xmlns:c15="http://schemas.microsoft.com/office/drawing/2012/chart" uri="{02D57815-91ED-43cb-92C2-25804820EDAC}">
              <c15:datalabelsRange>
                <c15:f>LUCI!$BQ$42</c15:f>
                <c15:dlblRangeCache>
                  <c:ptCount val="1"/>
                  <c:pt idx="0">
                    <c:v>LUCI, UT=</c:v>
                  </c:pt>
                </c15:dlblRangeCache>
              </c15:datalabelsRange>
            </c:ext>
            <c:ext xmlns:c16="http://schemas.microsoft.com/office/drawing/2014/chart" uri="{C3380CC4-5D6E-409C-BE32-E72D297353CC}">
              <c16:uniqueId val="{00000030-7934-D240-B2CF-E6312E41D70E}"/>
            </c:ext>
          </c:extLst>
        </c:ser>
        <c:ser>
          <c:idx val="18"/>
          <c:order val="18"/>
          <c:tx>
            <c:v>UT</c:v>
          </c:tx>
          <c:spPr>
            <a:ln w="25400" cap="rnd">
              <a:noFill/>
              <a:round/>
            </a:ln>
            <a:effectLst/>
          </c:spPr>
          <c:marker>
            <c:symbol val="none"/>
          </c:marker>
          <c:dLbls>
            <c:dLbl>
              <c:idx val="0"/>
              <c:tx>
                <c:rich>
                  <a:bodyPr/>
                  <a:lstStyle/>
                  <a:p>
                    <a:fld id="{8CEB7EF4-8648-EC40-B0C0-60E89AC4C43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7934-D240-B2CF-E6312E41D70E}"/>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LUCI!$BO$47</c:f>
              <c:numCache>
                <c:formatCode>General</c:formatCode>
                <c:ptCount val="1"/>
                <c:pt idx="0">
                  <c:v>0.98</c:v>
                </c:pt>
              </c:numCache>
            </c:numRef>
          </c:xVal>
          <c:yVal>
            <c:numRef>
              <c:f>LUCI!$BP$47</c:f>
              <c:numCache>
                <c:formatCode>General</c:formatCode>
                <c:ptCount val="1"/>
                <c:pt idx="0">
                  <c:v>1.08</c:v>
                </c:pt>
              </c:numCache>
            </c:numRef>
          </c:yVal>
          <c:smooth val="0"/>
          <c:extLst>
            <c:ext xmlns:c15="http://schemas.microsoft.com/office/drawing/2012/chart" uri="{02D57815-91ED-43cb-92C2-25804820EDAC}">
              <c15:datalabelsRange>
                <c15:f>LUCI!$BQ$43</c15:f>
                <c15:dlblRangeCache>
                  <c:ptCount val="1"/>
                  <c:pt idx="0">
                    <c:v>1.58</c:v>
                  </c:pt>
                </c15:dlblRangeCache>
              </c15:datalabelsRange>
            </c:ext>
            <c:ext xmlns:c16="http://schemas.microsoft.com/office/drawing/2014/chart" uri="{C3380CC4-5D6E-409C-BE32-E72D297353CC}">
              <c16:uniqueId val="{00000032-7934-D240-B2CF-E6312E41D70E}"/>
            </c:ext>
          </c:extLst>
        </c:ser>
        <c:ser>
          <c:idx val="19"/>
          <c:order val="19"/>
          <c:tx>
            <c:v>Title</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fld id="{51E7EB3A-1CD0-2F44-A4BB-6128FF55F593}" type="CELLRANGE">
                      <a:rPr lang="en-US">
                        <a:solidFill>
                          <a:schemeClr val="tx1">
                            <a:lumMod val="65000"/>
                            <a:lumOff val="35000"/>
                          </a:schemeClr>
                        </a:solidFill>
                      </a:rPr>
                      <a:pPr>
                        <a:defRPr sz="2000">
                          <a:solidFill>
                            <a:schemeClr val="tx1">
                              <a:lumMod val="65000"/>
                              <a:lumOff val="35000"/>
                            </a:schemeClr>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manualLayout>
                      <c:w val="0.25197806077008444"/>
                      <c:h val="8.2231745026285233E-2"/>
                    </c:manualLayout>
                  </c15:layout>
                  <c15:dlblFieldTable/>
                  <c15:showDataLabelsRange val="1"/>
                </c:ext>
                <c:ext xmlns:c16="http://schemas.microsoft.com/office/drawing/2014/chart" uri="{C3380CC4-5D6E-409C-BE32-E72D297353CC}">
                  <c16:uniqueId val="{00000033-7934-D240-B2CF-E6312E41D70E}"/>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Calcs!$M$64</c:f>
              <c:numCache>
                <c:formatCode>General</c:formatCode>
                <c:ptCount val="1"/>
                <c:pt idx="0">
                  <c:v>-0.9</c:v>
                </c:pt>
              </c:numCache>
            </c:numRef>
          </c:xVal>
          <c:yVal>
            <c:numRef>
              <c:f>Calcs!$N$64</c:f>
              <c:numCache>
                <c:formatCode>General</c:formatCode>
                <c:ptCount val="1"/>
                <c:pt idx="0">
                  <c:v>1.08</c:v>
                </c:pt>
              </c:numCache>
            </c:numRef>
          </c:yVal>
          <c:smooth val="0"/>
          <c:extLst>
            <c:ext xmlns:c15="http://schemas.microsoft.com/office/drawing/2012/chart" uri="{02D57815-91ED-43cb-92C2-25804820EDAC}">
              <c15:datalabelsRange>
                <c15:f>Calcs!$O$64</c15:f>
                <c15:dlblRangeCache>
                  <c:ptCount val="1"/>
                  <c:pt idx="0">
                    <c:v>All-sky Camera</c:v>
                  </c:pt>
                </c15:dlblRangeCache>
              </c15:datalabelsRange>
            </c:ext>
            <c:ext xmlns:c16="http://schemas.microsoft.com/office/drawing/2014/chart" uri="{C3380CC4-5D6E-409C-BE32-E72D297353CC}">
              <c16:uniqueId val="{00000034-7934-D240-B2CF-E6312E41D70E}"/>
            </c:ext>
          </c:extLst>
        </c:ser>
        <c:ser>
          <c:idx val="20"/>
          <c:order val="20"/>
          <c:tx>
            <c:v>NCP</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fld id="{E2AC06C4-0A0C-B149-A1B4-9654EA39724E}" type="CELLRANGE">
                      <a:rPr lang="en-US"/>
                      <a:pPr>
                        <a:defRPr sz="1000">
                          <a:solidFill>
                            <a:schemeClr val="tx1">
                              <a:lumMod val="50000"/>
                              <a:lumOff val="50000"/>
                            </a:schemeClr>
                          </a:solidFill>
                        </a:defRPr>
                      </a:pPr>
                      <a:t>[CELLRANGE]</a:t>
                    </a:fld>
                    <a:endParaRPr lang="en-US"/>
                  </a:p>
                </c:rich>
              </c:tx>
              <c:spPr>
                <a:no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7934-D240-B2CF-E6312E41D70E}"/>
                </c:ext>
              </c:extLst>
            </c:dLbl>
            <c:spPr>
              <a:no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Calcs!$M$65</c:f>
              <c:numCache>
                <c:formatCode>General</c:formatCode>
                <c:ptCount val="1"/>
                <c:pt idx="0">
                  <c:v>0</c:v>
                </c:pt>
              </c:numCache>
            </c:numRef>
          </c:xVal>
          <c:yVal>
            <c:numRef>
              <c:f>Calcs!$N$65</c:f>
              <c:numCache>
                <c:formatCode>0.00</c:formatCode>
                <c:ptCount val="1"/>
                <c:pt idx="0">
                  <c:v>0.6366666666666666</c:v>
                </c:pt>
              </c:numCache>
            </c:numRef>
          </c:yVal>
          <c:smooth val="0"/>
          <c:extLst>
            <c:ext xmlns:c15="http://schemas.microsoft.com/office/drawing/2012/chart" uri="{02D57815-91ED-43cb-92C2-25804820EDAC}">
              <c15:datalabelsRange>
                <c15:f>Calcs!$O$65</c15:f>
                <c15:dlblRangeCache>
                  <c:ptCount val="1"/>
                  <c:pt idx="0">
                    <c:v>NCP</c:v>
                  </c:pt>
                </c15:dlblRangeCache>
              </c15:datalabelsRange>
            </c:ext>
            <c:ext xmlns:c16="http://schemas.microsoft.com/office/drawing/2014/chart" uri="{C3380CC4-5D6E-409C-BE32-E72D297353CC}">
              <c16:uniqueId val="{00000036-7934-D240-B2CF-E6312E41D70E}"/>
            </c:ext>
          </c:extLst>
        </c:ser>
        <c:ser>
          <c:idx val="21"/>
          <c:order val="21"/>
          <c:tx>
            <c:v>Meridian</c:v>
          </c:tx>
          <c:spPr>
            <a:ln w="15875" cap="rnd">
              <a:solidFill>
                <a:srgbClr val="FF0000">
                  <a:alpha val="33000"/>
                </a:srgbClr>
              </a:solidFill>
              <a:prstDash val="lgDash"/>
              <a:round/>
            </a:ln>
            <a:effectLst/>
          </c:spPr>
          <c:marker>
            <c:symbol val="none"/>
          </c:marker>
          <c:dLbls>
            <c:dLbl>
              <c:idx val="0"/>
              <c:tx>
                <c:rich>
                  <a:bodyPr/>
                  <a:lstStyle/>
                  <a:p>
                    <a:fld id="{EE76C153-45AF-9949-A361-1E74DACC97E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CFF-BC4E-9D0F-72BAF90AFE83}"/>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7CFF-BC4E-9D0F-72BAF90AFE8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Calcs!$M$66:$M$67</c:f>
              <c:numCache>
                <c:formatCode>General</c:formatCode>
                <c:ptCount val="2"/>
                <c:pt idx="0">
                  <c:v>0</c:v>
                </c:pt>
                <c:pt idx="1">
                  <c:v>0</c:v>
                </c:pt>
              </c:numCache>
            </c:numRef>
          </c:xVal>
          <c:yVal>
            <c:numRef>
              <c:f>Calcs!$N$66:$N$67</c:f>
              <c:numCache>
                <c:formatCode>General</c:formatCode>
                <c:ptCount val="2"/>
                <c:pt idx="0">
                  <c:v>-1</c:v>
                </c:pt>
                <c:pt idx="1">
                  <c:v>1</c:v>
                </c:pt>
              </c:numCache>
            </c:numRef>
          </c:yVal>
          <c:smooth val="0"/>
          <c:extLst>
            <c:ext xmlns:c15="http://schemas.microsoft.com/office/drawing/2012/chart" uri="{02D57815-91ED-43cb-92C2-25804820EDAC}">
              <c15:datalabelsRange>
                <c15:f>Calcs!$O$66</c15:f>
                <c15:dlblRangeCache>
                  <c:ptCount val="1"/>
                  <c:pt idx="0">
                    <c:v>Meridian</c:v>
                  </c:pt>
                </c15:dlblRangeCache>
              </c15:datalabelsRange>
            </c:ext>
            <c:ext xmlns:c16="http://schemas.microsoft.com/office/drawing/2014/chart" uri="{C3380CC4-5D6E-409C-BE32-E72D297353CC}">
              <c16:uniqueId val="{00000037-7934-D240-B2CF-E6312E41D70E}"/>
            </c:ext>
          </c:extLst>
        </c:ser>
        <c:ser>
          <c:idx val="22"/>
          <c:order val="22"/>
          <c:tx>
            <c:v>Date</c:v>
          </c:tx>
          <c:spPr>
            <a:ln w="25400" cap="rnd">
              <a:noFill/>
              <a:round/>
            </a:ln>
            <a:effectLst/>
          </c:spPr>
          <c:marker>
            <c:symbol val="none"/>
          </c:marker>
          <c:dLbls>
            <c:dLbl>
              <c:idx val="0"/>
              <c:tx>
                <c:rich>
                  <a:bodyPr/>
                  <a:lstStyle/>
                  <a:p>
                    <a:fld id="{797F8DF8-BB09-D441-A71F-E3950CCF4A0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CFF-BC4E-9D0F-72BAF90AFE83}"/>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Calcs!$S$22</c:f>
              <c:numCache>
                <c:formatCode>General</c:formatCode>
                <c:ptCount val="1"/>
                <c:pt idx="0">
                  <c:v>0.9</c:v>
                </c:pt>
              </c:numCache>
            </c:numRef>
          </c:xVal>
          <c:yVal>
            <c:numRef>
              <c:f>Calcs!$T$22</c:f>
              <c:numCache>
                <c:formatCode>General</c:formatCode>
                <c:ptCount val="1"/>
                <c:pt idx="0">
                  <c:v>0.95</c:v>
                </c:pt>
              </c:numCache>
            </c:numRef>
          </c:yVal>
          <c:smooth val="0"/>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7CFF-BC4E-9D0F-72BAF90AFE83}"/>
            </c:ext>
          </c:extLst>
        </c:ser>
        <c:dLbls>
          <c:showLegendKey val="0"/>
          <c:showVal val="0"/>
          <c:showCatName val="0"/>
          <c:showSerName val="0"/>
          <c:showPercent val="0"/>
          <c:showBubbleSize val="0"/>
        </c:dLbls>
        <c:axId val="1866022943"/>
        <c:axId val="150038976"/>
      </c:scatterChart>
      <c:valAx>
        <c:axId val="1866022943"/>
        <c:scaling>
          <c:orientation val="minMax"/>
          <c:max val="1.2"/>
          <c:min val="-1.2"/>
        </c:scaling>
        <c:delete val="1"/>
        <c:axPos val="b"/>
        <c:numFmt formatCode="0.00" sourceLinked="1"/>
        <c:majorTickMark val="none"/>
        <c:minorTickMark val="none"/>
        <c:tickLblPos val="low"/>
        <c:crossAx val="150038976"/>
        <c:crosses val="autoZero"/>
        <c:crossBetween val="midCat"/>
      </c:valAx>
      <c:valAx>
        <c:axId val="150038976"/>
        <c:scaling>
          <c:orientation val="minMax"/>
          <c:max val="1.2"/>
          <c:min val="-1.2"/>
        </c:scaling>
        <c:delete val="1"/>
        <c:axPos val="l"/>
        <c:numFmt formatCode="0.00" sourceLinked="1"/>
        <c:majorTickMark val="none"/>
        <c:minorTickMark val="none"/>
        <c:tickLblPos val="low"/>
        <c:crossAx val="1866022943"/>
        <c:crosses val="autoZero"/>
        <c:crossBetween val="midCat"/>
      </c:valAx>
      <c:spPr>
        <a:gradFill flip="none" rotWithShape="1">
          <a:gsLst>
            <a:gs pos="39000">
              <a:schemeClr val="bg1"/>
            </a:gs>
            <a:gs pos="0">
              <a:schemeClr val="bg1"/>
            </a:gs>
            <a:gs pos="42000">
              <a:schemeClr val="accent4">
                <a:alpha val="69719"/>
                <a:lumMod val="64000"/>
                <a:lumOff val="36000"/>
              </a:schemeClr>
            </a:gs>
            <a:gs pos="61000">
              <a:schemeClr val="bg1">
                <a:lumMod val="85000"/>
              </a:schemeClr>
            </a:gs>
            <a:gs pos="59000">
              <a:schemeClr val="accent4">
                <a:lumMod val="75000"/>
                <a:alpha val="56000"/>
              </a:schemeClr>
            </a:gs>
          </a:gsLst>
          <a:path path="circle">
            <a:fillToRect l="50000" t="50000" r="50000" b="50000"/>
          </a:path>
          <a:tileRect/>
        </a:gra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Alt-Az</a:t>
            </a:r>
            <a:r>
              <a:rPr lang="en-US" sz="1600" b="1" baseline="0"/>
              <a:t> position of targets at given UT</a:t>
            </a:r>
            <a:endParaRPr lang="en-US" sz="1600" b="1"/>
          </a:p>
        </c:rich>
      </c:tx>
      <c:layout>
        <c:manualLayout>
          <c:xMode val="edge"/>
          <c:yMode val="edge"/>
          <c:x val="0.32971336717109617"/>
          <c:y val="2.570987850190310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"Objects"</c:v>
          </c:tx>
          <c:spPr>
            <a:ln w="25400" cap="rnd">
              <a:noFill/>
              <a:round/>
            </a:ln>
            <a:effectLst/>
          </c:spPr>
          <c:marker>
            <c:symbol val="none"/>
          </c:marker>
          <c:dLbls>
            <c:dLbl>
              <c:idx val="0"/>
              <c:tx>
                <c:rich>
                  <a:bodyPr/>
                  <a:lstStyle/>
                  <a:p>
                    <a:fld id="{87C44CE6-85AF-B84F-AE7C-422CE129351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32D-734E-B2C3-A7F0FE151DCB}"/>
                </c:ext>
              </c:extLst>
            </c:dLbl>
            <c:dLbl>
              <c:idx val="1"/>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3AADFF51-45C5-9C47-8FA3-DD8EBDA074E8}"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32D-734E-B2C3-A7F0FE151DCB}"/>
                </c:ext>
              </c:extLst>
            </c:dLbl>
            <c:dLbl>
              <c:idx val="2"/>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868A352B-5E41-DB4C-A324-C6596016C85C}"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32D-734E-B2C3-A7F0FE151DCB}"/>
                </c:ext>
              </c:extLst>
            </c:dLbl>
            <c:dLbl>
              <c:idx val="3"/>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C606AA17-2CAE-714C-AE44-4CDD5A4D620A}"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32D-734E-B2C3-A7F0FE151DCB}"/>
                </c:ext>
              </c:extLst>
            </c:dLbl>
            <c:dLbl>
              <c:idx val="4"/>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F12D4A60-4E77-8A49-8E5C-AEAA34A2E64D}" type="CELLRANGE">
                      <a:rPr lang="en-US"/>
                      <a:pPr>
                        <a:defRPr sz="1000" b="1">
                          <a:solidFill>
                            <a:srgbClr val="0070C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32D-734E-B2C3-A7F0FE151DCB}"/>
                </c:ext>
              </c:extLst>
            </c:dLbl>
            <c:dLbl>
              <c:idx val="5"/>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B04C6E8E-030F-504D-AD8C-330994D92E0B}" type="CELLRANGE">
                      <a:rPr lang="en-US"/>
                      <a:pPr>
                        <a:defRPr sz="1000" b="1">
                          <a:solidFill>
                            <a:srgbClr val="0070C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32D-734E-B2C3-A7F0FE151DCB}"/>
                </c:ext>
              </c:extLst>
            </c:dLbl>
            <c:dLbl>
              <c:idx val="6"/>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C9E04D9A-0AA2-1448-A513-165E73F5A246}" type="CELLRANGE">
                      <a:rPr lang="en-US"/>
                      <a:pPr>
                        <a:defRPr sz="1000" b="1">
                          <a:solidFill>
                            <a:srgbClr val="FF0000"/>
                          </a:solidFill>
                        </a:defRPr>
                      </a:pPr>
                      <a:t>[CELLRANGE]</a:t>
                    </a:fld>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32D-734E-B2C3-A7F0FE151DCB}"/>
                </c:ext>
              </c:extLst>
            </c:dLbl>
            <c:dLbl>
              <c:idx val="7"/>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432D-734E-B2C3-A7F0FE151DCB}"/>
                </c:ext>
              </c:extLst>
            </c:dLbl>
            <c:dLbl>
              <c:idx val="8"/>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432D-734E-B2C3-A7F0FE151DCB}"/>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432D-734E-B2C3-A7F0FE151DCB}"/>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432D-734E-B2C3-A7F0FE151DCB}"/>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432D-734E-B2C3-A7F0FE151DCB}"/>
                </c:ext>
              </c:extLst>
            </c:dLbl>
            <c:dLbl>
              <c:idx val="1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432D-734E-B2C3-A7F0FE151DCB}"/>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432D-734E-B2C3-A7F0FE151DCB}"/>
                </c:ext>
              </c:extLst>
            </c:dLbl>
            <c:dLbl>
              <c:idx val="14"/>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432D-734E-B2C3-A7F0FE151DCB}"/>
                </c:ext>
              </c:extLst>
            </c:dLbl>
            <c:dLbl>
              <c:idx val="15"/>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432D-734E-B2C3-A7F0FE151DCB}"/>
                </c:ext>
              </c:extLst>
            </c:dLbl>
            <c:dLbl>
              <c:idx val="16"/>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432D-734E-B2C3-A7F0FE151DCB}"/>
                </c:ext>
              </c:extLst>
            </c:dLbl>
            <c:dLbl>
              <c:idx val="17"/>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432D-734E-B2C3-A7F0FE151DCB}"/>
                </c:ext>
              </c:extLst>
            </c:dLbl>
            <c:dLbl>
              <c:idx val="18"/>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432D-734E-B2C3-A7F0FE151DCB}"/>
                </c:ext>
              </c:extLst>
            </c:dLbl>
            <c:dLbl>
              <c:idx val="19"/>
              <c:tx>
                <c:rich>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432D-734E-B2C3-A7F0FE151DCB}"/>
                </c:ext>
              </c:extLst>
            </c:dLbl>
            <c:dLbl>
              <c:idx val="20"/>
              <c:tx>
                <c:rich>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432D-734E-B2C3-A7F0FE151DCB}"/>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LBC!$AO$4:$AO$24</c:f>
              <c:numCache>
                <c:formatCode>0</c:formatCode>
                <c:ptCount val="21"/>
                <c:pt idx="0">
                  <c:v>63.177143915567513</c:v>
                </c:pt>
                <c:pt idx="1">
                  <c:v>35.888159998770796</c:v>
                </c:pt>
                <c:pt idx="2">
                  <c:v>133.50479023955799</c:v>
                </c:pt>
                <c:pt idx="3">
                  <c:v>1.0599993506722116</c:v>
                </c:pt>
                <c:pt idx="4">
                  <c:v>16.852926646997581</c:v>
                </c:pt>
                <c:pt idx="5">
                  <c:v>7.5780227173972259</c:v>
                </c:pt>
                <c:pt idx="6">
                  <c:v>131.25105487790225</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xVal>
          <c:yVal>
            <c:numRef>
              <c:f>LBC!$AE$4:$AE$24</c:f>
              <c:numCache>
                <c:formatCode>0</c:formatCode>
                <c:ptCount val="21"/>
                <c:pt idx="0">
                  <c:v>-56.900681184640575</c:v>
                </c:pt>
                <c:pt idx="1">
                  <c:v>60.588212459251345</c:v>
                </c:pt>
                <c:pt idx="2">
                  <c:v>74.801975084918297</c:v>
                </c:pt>
                <c:pt idx="3">
                  <c:v>53.235926885126368</c:v>
                </c:pt>
                <c:pt idx="4">
                  <c:v>78.014984092155714</c:v>
                </c:pt>
                <c:pt idx="5">
                  <c:v>60.663137431885758</c:v>
                </c:pt>
                <c:pt idx="6">
                  <c:v>32.589654161330067</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5="http://schemas.microsoft.com/office/drawing/2012/chart" uri="{02D57815-91ED-43cb-92C2-25804820EDAC}">
              <c15:datalabelsRange>
                <c15:f>LBC!$W$4:$W$24</c15:f>
                <c15:dlblRangeCache>
                  <c:ptCount val="21"/>
                  <c:pt idx="0">
                    <c:v>Moon</c:v>
                  </c:pt>
                  <c:pt idx="1">
                    <c:v>N5474</c:v>
                  </c:pt>
                  <c:pt idx="2">
                    <c:v>N4826</c:v>
                  </c:pt>
                  <c:pt idx="3">
                    <c:v>N4236</c:v>
                  </c:pt>
                  <c:pt idx="4">
                    <c:v>N4449</c:v>
                  </c:pt>
                  <c:pt idx="5">
                    <c:v>N4605</c:v>
                  </c:pt>
                  <c:pt idx="6">
                    <c:v>SN95n</c:v>
                  </c:pt>
                </c15:dlblRangeCache>
              </c15:datalabelsRange>
            </c:ext>
            <c:ext xmlns:c16="http://schemas.microsoft.com/office/drawing/2014/chart" uri="{C3380CC4-5D6E-409C-BE32-E72D297353CC}">
              <c16:uniqueId val="{00000015-432D-734E-B2C3-A7F0FE151DCB}"/>
            </c:ext>
          </c:extLst>
        </c:ser>
        <c:ser>
          <c:idx val="1"/>
          <c:order val="1"/>
          <c:tx>
            <c:v>"elevation limit"</c:v>
          </c:tx>
          <c:spPr>
            <a:ln w="15875"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Calcs!$N$30:$N$31</c:f>
              <c:numCache>
                <c:formatCode>General</c:formatCode>
                <c:ptCount val="2"/>
                <c:pt idx="0">
                  <c:v>30</c:v>
                </c:pt>
                <c:pt idx="1">
                  <c:v>30</c:v>
                </c:pt>
              </c:numCache>
            </c:numRef>
          </c:yVal>
          <c:smooth val="0"/>
          <c:extLst>
            <c:ext xmlns:c16="http://schemas.microsoft.com/office/drawing/2014/chart" uri="{C3380CC4-5D6E-409C-BE32-E72D297353CC}">
              <c16:uniqueId val="{00000016-432D-734E-B2C3-A7F0FE151DCB}"/>
            </c:ext>
          </c:extLst>
        </c:ser>
        <c:ser>
          <c:idx val="2"/>
          <c:order val="2"/>
          <c:tx>
            <c:v>"Zenith Limit"</c:v>
          </c:tx>
          <c:spPr>
            <a:ln w="15875"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Calcs!$O$30:$O$31</c:f>
              <c:numCache>
                <c:formatCode>General</c:formatCode>
                <c:ptCount val="2"/>
                <c:pt idx="0">
                  <c:v>86</c:v>
                </c:pt>
                <c:pt idx="1">
                  <c:v>86</c:v>
                </c:pt>
              </c:numCache>
            </c:numRef>
          </c:yVal>
          <c:smooth val="0"/>
          <c:extLst>
            <c:ext xmlns:c16="http://schemas.microsoft.com/office/drawing/2014/chart" uri="{C3380CC4-5D6E-409C-BE32-E72D297353CC}">
              <c16:uniqueId val="{00000017-432D-734E-B2C3-A7F0FE151DCB}"/>
            </c:ext>
          </c:extLst>
        </c:ser>
        <c:ser>
          <c:idx val="3"/>
          <c:order val="3"/>
          <c:tx>
            <c:v>"Meridian"</c:v>
          </c:tx>
          <c:spPr>
            <a:ln w="12700" cap="rnd">
              <a:solidFill>
                <a:schemeClr val="bg1">
                  <a:lumMod val="50000"/>
                </a:schemeClr>
              </a:solidFill>
              <a:prstDash val="dash"/>
              <a:round/>
            </a:ln>
            <a:effectLst/>
          </c:spPr>
          <c:marker>
            <c:symbol val="none"/>
          </c:marker>
          <c:dPt>
            <c:idx val="1"/>
            <c:marker>
              <c:symbol val="none"/>
            </c:marker>
            <c:bubble3D val="0"/>
            <c:spPr>
              <a:ln w="15875" cap="rnd">
                <a:solidFill>
                  <a:srgbClr val="FF0000"/>
                </a:solidFill>
                <a:prstDash val="dash"/>
                <a:round/>
              </a:ln>
              <a:effectLst/>
            </c:spPr>
            <c:extLst>
              <c:ext xmlns:c16="http://schemas.microsoft.com/office/drawing/2014/chart" uri="{C3380CC4-5D6E-409C-BE32-E72D297353CC}">
                <c16:uniqueId val="{00000019-432D-734E-B2C3-A7F0FE151DCB}"/>
              </c:ext>
            </c:extLst>
          </c:dPt>
          <c:xVal>
            <c:numRef>
              <c:f>Calcs!$M$32:$M$33</c:f>
              <c:numCache>
                <c:formatCode>General</c:formatCode>
                <c:ptCount val="2"/>
                <c:pt idx="0">
                  <c:v>180</c:v>
                </c:pt>
                <c:pt idx="1">
                  <c:v>180</c:v>
                </c:pt>
              </c:numCache>
            </c:numRef>
          </c:xVal>
          <c:yVal>
            <c:numRef>
              <c:f>Calcs!$N$32:$N$33</c:f>
              <c:numCache>
                <c:formatCode>General</c:formatCode>
                <c:ptCount val="2"/>
                <c:pt idx="0">
                  <c:v>0</c:v>
                </c:pt>
                <c:pt idx="1">
                  <c:v>90</c:v>
                </c:pt>
              </c:numCache>
            </c:numRef>
          </c:yVal>
          <c:smooth val="0"/>
          <c:extLst>
            <c:ext xmlns:c16="http://schemas.microsoft.com/office/drawing/2014/chart" uri="{C3380CC4-5D6E-409C-BE32-E72D297353CC}">
              <c16:uniqueId val="{0000001A-432D-734E-B2C3-A7F0FE151DCB}"/>
            </c:ext>
          </c:extLst>
        </c:ser>
        <c:ser>
          <c:idx val="4"/>
          <c:order val="4"/>
          <c:tx>
            <c:v>"Dec -20"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Calcs!$Y$31:$Y$43</c:f>
              <c:numCache>
                <c:formatCode>0</c:formatCode>
                <c:ptCount val="13"/>
                <c:pt idx="0">
                  <c:v>107.02903424436295</c:v>
                </c:pt>
                <c:pt idx="1">
                  <c:v>114.78968379951743</c:v>
                </c:pt>
                <c:pt idx="2">
                  <c:v>123.64675150493228</c:v>
                </c:pt>
                <c:pt idx="3">
                  <c:v>134.22752195987701</c:v>
                </c:pt>
                <c:pt idx="4">
                  <c:v>147.14269848289527</c:v>
                </c:pt>
                <c:pt idx="5">
                  <c:v>162.6439270283274</c:v>
                </c:pt>
                <c:pt idx="6">
                  <c:v>180</c:v>
                </c:pt>
                <c:pt idx="7">
                  <c:v>197.3560729716726</c:v>
                </c:pt>
                <c:pt idx="8">
                  <c:v>212.85730151710473</c:v>
                </c:pt>
                <c:pt idx="9">
                  <c:v>225.77247804012299</c:v>
                </c:pt>
                <c:pt idx="10">
                  <c:v>236.3532484950677</c:v>
                </c:pt>
                <c:pt idx="11">
                  <c:v>245.21031620048257</c:v>
                </c:pt>
                <c:pt idx="12">
                  <c:v>252.97096575563705</c:v>
                </c:pt>
              </c:numCache>
            </c:numRef>
          </c:xVal>
          <c:yVal>
            <c:numRef>
              <c:f>Calcs!$Z$31:$Z$43</c:f>
              <c:numCache>
                <c:formatCode>0</c:formatCode>
                <c:ptCount val="13"/>
                <c:pt idx="0">
                  <c:v>-10.647902283000841</c:v>
                </c:pt>
                <c:pt idx="1">
                  <c:v>1.1397487980177132</c:v>
                </c:pt>
                <c:pt idx="2">
                  <c:v>12.157965287544533</c:v>
                </c:pt>
                <c:pt idx="3">
                  <c:v>21.985981395600813</c:v>
                </c:pt>
                <c:pt idx="4">
                  <c:v>30.003073243340051</c:v>
                </c:pt>
                <c:pt idx="5">
                  <c:v>35.383320664520298</c:v>
                </c:pt>
                <c:pt idx="6">
                  <c:v>37.300000000000011</c:v>
                </c:pt>
                <c:pt idx="7">
                  <c:v>35.383320664520298</c:v>
                </c:pt>
                <c:pt idx="8">
                  <c:v>30.003073243340051</c:v>
                </c:pt>
                <c:pt idx="9">
                  <c:v>21.985981395600813</c:v>
                </c:pt>
                <c:pt idx="10">
                  <c:v>12.157965287544533</c:v>
                </c:pt>
                <c:pt idx="11">
                  <c:v>1.1397487980177132</c:v>
                </c:pt>
                <c:pt idx="12">
                  <c:v>-10.647902283000841</c:v>
                </c:pt>
              </c:numCache>
            </c:numRef>
          </c:yVal>
          <c:smooth val="0"/>
          <c:extLst>
            <c:ext xmlns:c16="http://schemas.microsoft.com/office/drawing/2014/chart" uri="{C3380CC4-5D6E-409C-BE32-E72D297353CC}">
              <c16:uniqueId val="{0000001B-432D-734E-B2C3-A7F0FE151DCB}"/>
            </c:ext>
          </c:extLst>
        </c:ser>
        <c:ser>
          <c:idx val="5"/>
          <c:order val="5"/>
          <c:tx>
            <c:v>"Dec 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Calcs!$AA$31:$AA$43</c:f>
              <c:numCache>
                <c:formatCode>0</c:formatCode>
                <c:ptCount val="13"/>
                <c:pt idx="0">
                  <c:v>90</c:v>
                </c:pt>
                <c:pt idx="1">
                  <c:v>98.236748204702977</c:v>
                </c:pt>
                <c:pt idx="2">
                  <c:v>107.32311253128316</c:v>
                </c:pt>
                <c:pt idx="3">
                  <c:v>118.37970591360207</c:v>
                </c:pt>
                <c:pt idx="4">
                  <c:v>133.09817430910678</c:v>
                </c:pt>
                <c:pt idx="5">
                  <c:v>153.61944023636568</c:v>
                </c:pt>
                <c:pt idx="6">
                  <c:v>180</c:v>
                </c:pt>
                <c:pt idx="7">
                  <c:v>206.38055976363432</c:v>
                </c:pt>
                <c:pt idx="8">
                  <c:v>226.90182569089322</c:v>
                </c:pt>
                <c:pt idx="9">
                  <c:v>241.62029408639793</c:v>
                </c:pt>
                <c:pt idx="10">
                  <c:v>252.67688746871684</c:v>
                </c:pt>
                <c:pt idx="11">
                  <c:v>261.76325179529704</c:v>
                </c:pt>
                <c:pt idx="12">
                  <c:v>270</c:v>
                </c:pt>
              </c:numCache>
            </c:numRef>
          </c:xVal>
          <c:yVal>
            <c:numRef>
              <c:f>Calcs!$AB$31:$AB$43</c:f>
              <c:numCache>
                <c:formatCode>0</c:formatCode>
                <c:ptCount val="13"/>
                <c:pt idx="0">
                  <c:v>2.9535276312798145E-15</c:v>
                </c:pt>
                <c:pt idx="1">
                  <c:v>12.579791486979417</c:v>
                </c:pt>
                <c:pt idx="2">
                  <c:v>24.882287665203343</c:v>
                </c:pt>
                <c:pt idx="3">
                  <c:v>36.515339679802814</c:v>
                </c:pt>
                <c:pt idx="4">
                  <c:v>46.78335381826129</c:v>
                </c:pt>
                <c:pt idx="5">
                  <c:v>54.374047122650516</c:v>
                </c:pt>
                <c:pt idx="6">
                  <c:v>57.3</c:v>
                </c:pt>
                <c:pt idx="7">
                  <c:v>54.374047122650516</c:v>
                </c:pt>
                <c:pt idx="8">
                  <c:v>46.78335381826129</c:v>
                </c:pt>
                <c:pt idx="9">
                  <c:v>36.515339679802814</c:v>
                </c:pt>
                <c:pt idx="10">
                  <c:v>24.882287665203343</c:v>
                </c:pt>
                <c:pt idx="11">
                  <c:v>12.579791486979417</c:v>
                </c:pt>
                <c:pt idx="12">
                  <c:v>2.9535276312798145E-15</c:v>
                </c:pt>
              </c:numCache>
            </c:numRef>
          </c:yVal>
          <c:smooth val="0"/>
          <c:extLst>
            <c:ext xmlns:c16="http://schemas.microsoft.com/office/drawing/2014/chart" uri="{C3380CC4-5D6E-409C-BE32-E72D297353CC}">
              <c16:uniqueId val="{0000001C-432D-734E-B2C3-A7F0FE151DCB}"/>
            </c:ext>
          </c:extLst>
        </c:ser>
        <c:ser>
          <c:idx val="6"/>
          <c:order val="6"/>
          <c:tx>
            <c:v>"Dec 20"</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Calcs!$AC$31:$AC$43</c:f>
              <c:numCache>
                <c:formatCode>0</c:formatCode>
                <c:ptCount val="13"/>
                <c:pt idx="0">
                  <c:v>72.970965755637053</c:v>
                </c:pt>
                <c:pt idx="1">
                  <c:v>80.222117465539853</c:v>
                </c:pt>
                <c:pt idx="2">
                  <c:v>87.608750982038728</c:v>
                </c:pt>
                <c:pt idx="3">
                  <c:v>96.112401476938246</c:v>
                </c:pt>
                <c:pt idx="4">
                  <c:v>107.90844260304503</c:v>
                </c:pt>
                <c:pt idx="5">
                  <c:v>129.78788530765956</c:v>
                </c:pt>
                <c:pt idx="6">
                  <c:v>180</c:v>
                </c:pt>
                <c:pt idx="7">
                  <c:v>230.21211469234044</c:v>
                </c:pt>
                <c:pt idx="8">
                  <c:v>252.09155739695495</c:v>
                </c:pt>
                <c:pt idx="9">
                  <c:v>263.88759852306174</c:v>
                </c:pt>
                <c:pt idx="10">
                  <c:v>272.39124901796129</c:v>
                </c:pt>
                <c:pt idx="11">
                  <c:v>279.77788253446016</c:v>
                </c:pt>
                <c:pt idx="12">
                  <c:v>287.02903424436295</c:v>
                </c:pt>
              </c:numCache>
            </c:numRef>
          </c:xVal>
          <c:yVal>
            <c:numRef>
              <c:f>Calcs!$AD$31:$AD$43</c:f>
              <c:numCache>
                <c:formatCode>0</c:formatCode>
                <c:ptCount val="13"/>
                <c:pt idx="0">
                  <c:v>10.647902283000848</c:v>
                </c:pt>
                <c:pt idx="1">
                  <c:v>22.919484936535</c:v>
                </c:pt>
                <c:pt idx="2">
                  <c:v>35.461361393613451</c:v>
                </c:pt>
                <c:pt idx="3">
                  <c:v>48.066922167281085</c:v>
                </c:pt>
                <c:pt idx="4">
                  <c:v>60.411330879740305</c:v>
                </c:pt>
                <c:pt idx="5">
                  <c:v>71.548154461504794</c:v>
                </c:pt>
                <c:pt idx="6">
                  <c:v>77.3</c:v>
                </c:pt>
                <c:pt idx="7">
                  <c:v>71.548154461504794</c:v>
                </c:pt>
                <c:pt idx="8">
                  <c:v>60.411330879740305</c:v>
                </c:pt>
                <c:pt idx="9">
                  <c:v>48.066922167281085</c:v>
                </c:pt>
                <c:pt idx="10">
                  <c:v>35.461361393613451</c:v>
                </c:pt>
                <c:pt idx="11">
                  <c:v>22.919484936535</c:v>
                </c:pt>
                <c:pt idx="12">
                  <c:v>10.647902283000848</c:v>
                </c:pt>
              </c:numCache>
            </c:numRef>
          </c:yVal>
          <c:smooth val="0"/>
          <c:extLst>
            <c:ext xmlns:c16="http://schemas.microsoft.com/office/drawing/2014/chart" uri="{C3380CC4-5D6E-409C-BE32-E72D297353CC}">
              <c16:uniqueId val="{0000001D-432D-734E-B2C3-A7F0FE151DCB}"/>
            </c:ext>
          </c:extLst>
        </c:ser>
        <c:ser>
          <c:idx val="7"/>
          <c:order val="7"/>
          <c:tx>
            <c:v>Dec 40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Calcs!$AE$31:$AE$37</c:f>
              <c:numCache>
                <c:formatCode>0</c:formatCode>
                <c:ptCount val="7"/>
                <c:pt idx="0">
                  <c:v>54.773649427199068</c:v>
                </c:pt>
                <c:pt idx="1">
                  <c:v>59.618467093394699</c:v>
                </c:pt>
                <c:pt idx="2">
                  <c:v>63.277519715569262</c:v>
                </c:pt>
                <c:pt idx="3">
                  <c:v>65.375552352537142</c:v>
                </c:pt>
                <c:pt idx="4">
                  <c:v>64.522242830245119</c:v>
                </c:pt>
                <c:pt idx="5">
                  <c:v>54.549112084780688</c:v>
                </c:pt>
                <c:pt idx="6">
                  <c:v>0</c:v>
                </c:pt>
              </c:numCache>
            </c:numRef>
          </c:xVal>
          <c:yVal>
            <c:numRef>
              <c:f>Calcs!$AF$31:$AF$37</c:f>
              <c:numCache>
                <c:formatCode>0</c:formatCode>
                <c:ptCount val="7"/>
                <c:pt idx="0">
                  <c:v>20.319802581796932</c:v>
                </c:pt>
                <c:pt idx="1">
                  <c:v>30.93755122000206</c:v>
                </c:pt>
                <c:pt idx="2">
                  <c:v>42.034434601207053</c:v>
                </c:pt>
                <c:pt idx="3">
                  <c:v>53.425747279019312</c:v>
                </c:pt>
                <c:pt idx="4">
                  <c:v>64.894729558190605</c:v>
                </c:pt>
                <c:pt idx="5">
                  <c:v>75.913420070000157</c:v>
                </c:pt>
                <c:pt idx="6">
                  <c:v>82.699999999999974</c:v>
                </c:pt>
              </c:numCache>
            </c:numRef>
          </c:yVal>
          <c:smooth val="0"/>
          <c:extLst>
            <c:ext xmlns:c16="http://schemas.microsoft.com/office/drawing/2014/chart" uri="{C3380CC4-5D6E-409C-BE32-E72D297353CC}">
              <c16:uniqueId val="{0000001E-432D-734E-B2C3-A7F0FE151DCB}"/>
            </c:ext>
          </c:extLst>
        </c:ser>
        <c:ser>
          <c:idx val="10"/>
          <c:order val="8"/>
          <c:tx>
            <c:v>"Dec 40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Calcs!$AE$38:$AE$44</c:f>
              <c:numCache>
                <c:formatCode>0</c:formatCode>
                <c:ptCount val="7"/>
                <c:pt idx="0">
                  <c:v>305.22635057280092</c:v>
                </c:pt>
                <c:pt idx="1">
                  <c:v>300.38153290660529</c:v>
                </c:pt>
                <c:pt idx="2">
                  <c:v>296.72248028443073</c:v>
                </c:pt>
                <c:pt idx="3">
                  <c:v>294.62444764746283</c:v>
                </c:pt>
                <c:pt idx="4">
                  <c:v>295.47775716975491</c:v>
                </c:pt>
                <c:pt idx="5">
                  <c:v>305.45088791521931</c:v>
                </c:pt>
                <c:pt idx="6">
                  <c:v>360</c:v>
                </c:pt>
              </c:numCache>
            </c:numRef>
          </c:xVal>
          <c:yVal>
            <c:numRef>
              <c:f>Calcs!$AF$38:$AF$44</c:f>
              <c:numCache>
                <c:formatCode>0</c:formatCode>
                <c:ptCount val="7"/>
                <c:pt idx="0">
                  <c:v>20.319802581796932</c:v>
                </c:pt>
                <c:pt idx="1">
                  <c:v>30.93755122000206</c:v>
                </c:pt>
                <c:pt idx="2">
                  <c:v>42.034434601207053</c:v>
                </c:pt>
                <c:pt idx="3">
                  <c:v>53.425747279019312</c:v>
                </c:pt>
                <c:pt idx="4">
                  <c:v>64.894729558190605</c:v>
                </c:pt>
                <c:pt idx="5">
                  <c:v>75.913420070000157</c:v>
                </c:pt>
                <c:pt idx="6">
                  <c:v>82.699999999999974</c:v>
                </c:pt>
              </c:numCache>
            </c:numRef>
          </c:yVal>
          <c:smooth val="0"/>
          <c:extLst>
            <c:ext xmlns:c16="http://schemas.microsoft.com/office/drawing/2014/chart" uri="{C3380CC4-5D6E-409C-BE32-E72D297353CC}">
              <c16:uniqueId val="{0000001F-432D-734E-B2C3-A7F0FE151DCB}"/>
            </c:ext>
          </c:extLst>
        </c:ser>
        <c:ser>
          <c:idx val="8"/>
          <c:order val="9"/>
          <c:tx>
            <c:v>"Dec 60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Calcs!$AG$31:$AG$37</c:f>
              <c:numCache>
                <c:formatCode>0</c:formatCode>
                <c:ptCount val="7"/>
                <c:pt idx="0">
                  <c:v>34.453542564623511</c:v>
                </c:pt>
                <c:pt idx="1">
                  <c:v>36.242569325632047</c:v>
                </c:pt>
                <c:pt idx="2">
                  <c:v>36.104547906981949</c:v>
                </c:pt>
                <c:pt idx="3">
                  <c:v>33.322859188499407</c:v>
                </c:pt>
                <c:pt idx="4">
                  <c:v>26.803591925178001</c:v>
                </c:pt>
                <c:pt idx="5">
                  <c:v>15.46158026525119</c:v>
                </c:pt>
                <c:pt idx="6">
                  <c:v>0</c:v>
                </c:pt>
              </c:numCache>
            </c:numRef>
          </c:xVal>
          <c:yVal>
            <c:numRef>
              <c:f>Calcs!$AH$31:$AH$37</c:f>
              <c:numCache>
                <c:formatCode>0</c:formatCode>
                <c:ptCount val="7"/>
                <c:pt idx="0">
                  <c:v>27.895593331044331</c:v>
                </c:pt>
                <c:pt idx="1">
                  <c:v>35.223074169307544</c:v>
                </c:pt>
                <c:pt idx="2">
                  <c:v>42.706226966718809</c:v>
                </c:pt>
                <c:pt idx="3">
                  <c:v>49.940884409088838</c:v>
                </c:pt>
                <c:pt idx="4">
                  <c:v>56.330224788620711</c:v>
                </c:pt>
                <c:pt idx="5">
                  <c:v>60.959918239616378</c:v>
                </c:pt>
                <c:pt idx="6">
                  <c:v>62.7</c:v>
                </c:pt>
              </c:numCache>
            </c:numRef>
          </c:yVal>
          <c:smooth val="0"/>
          <c:extLst>
            <c:ext xmlns:c16="http://schemas.microsoft.com/office/drawing/2014/chart" uri="{C3380CC4-5D6E-409C-BE32-E72D297353CC}">
              <c16:uniqueId val="{00000020-432D-734E-B2C3-A7F0FE151DCB}"/>
            </c:ext>
          </c:extLst>
        </c:ser>
        <c:ser>
          <c:idx val="11"/>
          <c:order val="10"/>
          <c:tx>
            <c:v>"Dec 60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Calcs!$AG$38:$AG$44</c:f>
              <c:numCache>
                <c:formatCode>0</c:formatCode>
                <c:ptCount val="7"/>
                <c:pt idx="0">
                  <c:v>325.54645743537651</c:v>
                </c:pt>
                <c:pt idx="1">
                  <c:v>323.75743067436792</c:v>
                </c:pt>
                <c:pt idx="2">
                  <c:v>323.89545209301804</c:v>
                </c:pt>
                <c:pt idx="3">
                  <c:v>326.67714081150058</c:v>
                </c:pt>
                <c:pt idx="4">
                  <c:v>333.19640807482199</c:v>
                </c:pt>
                <c:pt idx="5">
                  <c:v>344.5384197347488</c:v>
                </c:pt>
                <c:pt idx="6" formatCode="General">
                  <c:v>360</c:v>
                </c:pt>
              </c:numCache>
            </c:numRef>
          </c:xVal>
          <c:yVal>
            <c:numRef>
              <c:f>Calcs!$AH$38:$AH$44</c:f>
              <c:numCache>
                <c:formatCode>0</c:formatCode>
                <c:ptCount val="7"/>
                <c:pt idx="0">
                  <c:v>27.895593331044331</c:v>
                </c:pt>
                <c:pt idx="1">
                  <c:v>35.223074169307544</c:v>
                </c:pt>
                <c:pt idx="2">
                  <c:v>42.706226966718809</c:v>
                </c:pt>
                <c:pt idx="3">
                  <c:v>49.940884409088838</c:v>
                </c:pt>
                <c:pt idx="4">
                  <c:v>56.330224788620711</c:v>
                </c:pt>
                <c:pt idx="5">
                  <c:v>60.959918239616378</c:v>
                </c:pt>
                <c:pt idx="6">
                  <c:v>62.7</c:v>
                </c:pt>
              </c:numCache>
            </c:numRef>
          </c:yVal>
          <c:smooth val="0"/>
          <c:extLst>
            <c:ext xmlns:c16="http://schemas.microsoft.com/office/drawing/2014/chart" uri="{C3380CC4-5D6E-409C-BE32-E72D297353CC}">
              <c16:uniqueId val="{00000021-432D-734E-B2C3-A7F0FE151DCB}"/>
            </c:ext>
          </c:extLst>
        </c:ser>
        <c:ser>
          <c:idx val="9"/>
          <c:order val="11"/>
          <c:tx>
            <c:v>"Dec 80 E"</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Calcs!$AI$31:$AI$37</c:f>
              <c:numCache>
                <c:formatCode>0</c:formatCode>
                <c:ptCount val="7"/>
                <c:pt idx="0">
                  <c:v>11.83432597146335</c:v>
                </c:pt>
                <c:pt idx="1">
                  <c:v>11.777730977235509</c:v>
                </c:pt>
                <c:pt idx="2">
                  <c:v>10.887904639642294</c:v>
                </c:pt>
                <c:pt idx="3">
                  <c:v>9.149267977654592</c:v>
                </c:pt>
                <c:pt idx="4">
                  <c:v>6.6255159958337737</c:v>
                </c:pt>
                <c:pt idx="5">
                  <c:v>3.4844277193300073</c:v>
                </c:pt>
                <c:pt idx="6">
                  <c:v>0</c:v>
                </c:pt>
              </c:numCache>
            </c:numRef>
          </c:xVal>
          <c:yVal>
            <c:numRef>
              <c:f>Calcs!$AJ$31:$AJ$37</c:f>
              <c:numCache>
                <c:formatCode>0</c:formatCode>
                <c:ptCount val="7"/>
                <c:pt idx="0">
                  <c:v>32.142909895224342</c:v>
                </c:pt>
                <c:pt idx="1">
                  <c:v>34.739993657072219</c:v>
                </c:pt>
                <c:pt idx="2">
                  <c:v>37.235769204297057</c:v>
                </c:pt>
                <c:pt idx="3">
                  <c:v>39.446698793292988</c:v>
                </c:pt>
                <c:pt idx="4">
                  <c:v>41.191847129464179</c:v>
                </c:pt>
                <c:pt idx="5">
                  <c:v>42.313015982447965</c:v>
                </c:pt>
                <c:pt idx="6">
                  <c:v>42.7</c:v>
                </c:pt>
              </c:numCache>
            </c:numRef>
          </c:yVal>
          <c:smooth val="0"/>
          <c:extLst>
            <c:ext xmlns:c16="http://schemas.microsoft.com/office/drawing/2014/chart" uri="{C3380CC4-5D6E-409C-BE32-E72D297353CC}">
              <c16:uniqueId val="{00000022-432D-734E-B2C3-A7F0FE151DCB}"/>
            </c:ext>
          </c:extLst>
        </c:ser>
        <c:ser>
          <c:idx val="12"/>
          <c:order val="12"/>
          <c:tx>
            <c:v>"Dec 80 W</c:v>
          </c:tx>
          <c:spPr>
            <a:ln w="12700" cap="rnd">
              <a:solidFill>
                <a:schemeClr val="bg1">
                  <a:lumMod val="65000"/>
                </a:schemeClr>
              </a:solidFill>
              <a:round/>
            </a:ln>
            <a:effectLst/>
          </c:spPr>
          <c:marker>
            <c:symbol val="x"/>
            <c:size val="3"/>
            <c:spPr>
              <a:noFill/>
              <a:ln w="9525">
                <a:solidFill>
                  <a:schemeClr val="bg1">
                    <a:lumMod val="50000"/>
                  </a:schemeClr>
                </a:solidFill>
              </a:ln>
              <a:effectLst/>
            </c:spPr>
          </c:marker>
          <c:xVal>
            <c:numRef>
              <c:f>Calcs!$AI$38:$AI$44</c:f>
              <c:numCache>
                <c:formatCode>0</c:formatCode>
                <c:ptCount val="7"/>
                <c:pt idx="0">
                  <c:v>348.16567402853667</c:v>
                </c:pt>
                <c:pt idx="1">
                  <c:v>348.22226902276446</c:v>
                </c:pt>
                <c:pt idx="2">
                  <c:v>349.11209536035773</c:v>
                </c:pt>
                <c:pt idx="3">
                  <c:v>350.85073202234543</c:v>
                </c:pt>
                <c:pt idx="4">
                  <c:v>353.37448400416622</c:v>
                </c:pt>
                <c:pt idx="5">
                  <c:v>356.51557228066997</c:v>
                </c:pt>
                <c:pt idx="6" formatCode="General">
                  <c:v>360</c:v>
                </c:pt>
              </c:numCache>
            </c:numRef>
          </c:xVal>
          <c:yVal>
            <c:numRef>
              <c:f>Calcs!$AJ$38:$AJ$44</c:f>
              <c:numCache>
                <c:formatCode>0</c:formatCode>
                <c:ptCount val="7"/>
                <c:pt idx="0">
                  <c:v>32.142909895224342</c:v>
                </c:pt>
                <c:pt idx="1">
                  <c:v>34.739993657072219</c:v>
                </c:pt>
                <c:pt idx="2">
                  <c:v>37.235769204297057</c:v>
                </c:pt>
                <c:pt idx="3">
                  <c:v>39.446698793292988</c:v>
                </c:pt>
                <c:pt idx="4">
                  <c:v>41.191847129464179</c:v>
                </c:pt>
                <c:pt idx="5">
                  <c:v>42.313015982447965</c:v>
                </c:pt>
                <c:pt idx="6">
                  <c:v>42.7</c:v>
                </c:pt>
              </c:numCache>
            </c:numRef>
          </c:yVal>
          <c:smooth val="0"/>
          <c:extLst>
            <c:ext xmlns:c16="http://schemas.microsoft.com/office/drawing/2014/chart" uri="{C3380CC4-5D6E-409C-BE32-E72D297353CC}">
              <c16:uniqueId val="{00000023-432D-734E-B2C3-A7F0FE151DCB}"/>
            </c:ext>
          </c:extLst>
        </c:ser>
        <c:ser>
          <c:idx val="13"/>
          <c:order val="13"/>
          <c:tx>
            <c:v>"Dec labels"</c:v>
          </c:tx>
          <c:spPr>
            <a:ln w="25400" cap="rnd">
              <a:noFill/>
              <a:round/>
            </a:ln>
            <a:effectLst/>
          </c:spPr>
          <c:marker>
            <c:symbol val="none"/>
          </c:marker>
          <c:dLbls>
            <c:dLbl>
              <c:idx val="0"/>
              <c:tx>
                <c:rich>
                  <a:bodyPr/>
                  <a:lstStyle/>
                  <a:p>
                    <a:fld id="{EC6CE983-9162-8240-A80F-E309A38CCE3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432D-734E-B2C3-A7F0FE151DCB}"/>
                </c:ext>
              </c:extLst>
            </c:dLbl>
            <c:dLbl>
              <c:idx val="1"/>
              <c:tx>
                <c:rich>
                  <a:bodyPr/>
                  <a:lstStyle/>
                  <a:p>
                    <a:fld id="{01C27EC0-737D-4D45-8843-ABA69A234C2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432D-734E-B2C3-A7F0FE151DCB}"/>
                </c:ext>
              </c:extLst>
            </c:dLbl>
            <c:dLbl>
              <c:idx val="2"/>
              <c:tx>
                <c:rich>
                  <a:bodyPr/>
                  <a:lstStyle/>
                  <a:p>
                    <a:fld id="{DC4B0FEB-85DF-334A-8F60-3D90D0C851E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432D-734E-B2C3-A7F0FE151DCB}"/>
                </c:ext>
              </c:extLst>
            </c:dLbl>
            <c:dLbl>
              <c:idx val="3"/>
              <c:tx>
                <c:rich>
                  <a:bodyPr/>
                  <a:lstStyle/>
                  <a:p>
                    <a:fld id="{7C812D16-5A03-2E49-9139-8D73046EE8E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432D-734E-B2C3-A7F0FE151DCB}"/>
                </c:ext>
              </c:extLst>
            </c:dLbl>
            <c:dLbl>
              <c:idx val="4"/>
              <c:tx>
                <c:rich>
                  <a:bodyPr/>
                  <a:lstStyle/>
                  <a:p>
                    <a:fld id="{E0A0F0B2-863C-AB4C-B4BD-A7E3649848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432D-734E-B2C3-A7F0FE151DCB}"/>
                </c:ext>
              </c:extLst>
            </c:dLbl>
            <c:dLbl>
              <c:idx val="5"/>
              <c:tx>
                <c:rich>
                  <a:bodyPr/>
                  <a:lstStyle/>
                  <a:p>
                    <a:fld id="{C1D20AF3-5263-B54E-832F-14A2EAE4242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432D-734E-B2C3-A7F0FE151DCB}"/>
                </c:ext>
              </c:extLst>
            </c:dLbl>
            <c:dLbl>
              <c:idx val="6"/>
              <c:tx>
                <c:rich>
                  <a:bodyPr/>
                  <a:lstStyle/>
                  <a:p>
                    <a:fld id="{FABDE4B4-249D-D841-930D-AC69AD3422E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432D-734E-B2C3-A7F0FE151DCB}"/>
                </c:ext>
              </c:extLst>
            </c:dLbl>
            <c:dLbl>
              <c:idx val="7"/>
              <c:tx>
                <c:rich>
                  <a:bodyPr/>
                  <a:lstStyle/>
                  <a:p>
                    <a:fld id="{D1621D67-05DF-B642-8B05-C40E29AB8E1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432D-734E-B2C3-A7F0FE151DCB}"/>
                </c:ext>
              </c:extLst>
            </c:dLbl>
            <c:dLbl>
              <c:idx val="8"/>
              <c:tx>
                <c:rich>
                  <a:bodyPr/>
                  <a:lstStyle/>
                  <a:p>
                    <a:fld id="{2B545EA2-24D4-F847-B9A6-AF4BC04E355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432D-734E-B2C3-A7F0FE151DC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Calcs!$Q$31:$Q$39</c:f>
              <c:numCache>
                <c:formatCode>General</c:formatCode>
                <c:ptCount val="9"/>
                <c:pt idx="0" formatCode="0">
                  <c:v>12</c:v>
                </c:pt>
                <c:pt idx="1">
                  <c:v>34</c:v>
                </c:pt>
                <c:pt idx="2">
                  <c:v>55</c:v>
                </c:pt>
                <c:pt idx="3">
                  <c:v>73</c:v>
                </c:pt>
                <c:pt idx="4">
                  <c:v>91</c:v>
                </c:pt>
                <c:pt idx="5">
                  <c:v>114.5</c:v>
                </c:pt>
                <c:pt idx="6">
                  <c:v>38</c:v>
                </c:pt>
                <c:pt idx="7">
                  <c:v>38</c:v>
                </c:pt>
                <c:pt idx="8">
                  <c:v>310</c:v>
                </c:pt>
              </c:numCache>
            </c:numRef>
          </c:xVal>
          <c:yVal>
            <c:numRef>
              <c:f>Calcs!$R$31:$R$39</c:f>
              <c:numCache>
                <c:formatCode>General</c:formatCode>
                <c:ptCount val="9"/>
                <c:pt idx="0">
                  <c:v>30</c:v>
                </c:pt>
                <c:pt idx="1">
                  <c:v>26</c:v>
                </c:pt>
                <c:pt idx="2">
                  <c:v>18</c:v>
                </c:pt>
                <c:pt idx="3">
                  <c:v>8.5</c:v>
                </c:pt>
                <c:pt idx="4">
                  <c:v>2</c:v>
                </c:pt>
                <c:pt idx="5">
                  <c:v>2</c:v>
                </c:pt>
                <c:pt idx="6">
                  <c:v>16</c:v>
                </c:pt>
                <c:pt idx="7">
                  <c:v>12</c:v>
                </c:pt>
                <c:pt idx="8">
                  <c:v>16</c:v>
                </c:pt>
              </c:numCache>
            </c:numRef>
          </c:yVal>
          <c:smooth val="0"/>
          <c:extLst>
            <c:ext xmlns:c15="http://schemas.microsoft.com/office/drawing/2012/chart" uri="{02D57815-91ED-43cb-92C2-25804820EDAC}">
              <c15:datalabelsRange>
                <c15:f>Calcs!$S$31:$S$39</c15:f>
                <c15:dlblRangeCache>
                  <c:ptCount val="9"/>
                  <c:pt idx="0">
                    <c:v>80</c:v>
                  </c:pt>
                  <c:pt idx="1">
                    <c:v>60</c:v>
                  </c:pt>
                  <c:pt idx="2">
                    <c:v>40</c:v>
                  </c:pt>
                  <c:pt idx="3">
                    <c:v>20</c:v>
                  </c:pt>
                  <c:pt idx="4">
                    <c:v>0</c:v>
                  </c:pt>
                  <c:pt idx="5">
                    <c:v>-20</c:v>
                  </c:pt>
                  <c:pt idx="6">
                    <c:v>HA: -6hr</c:v>
                  </c:pt>
                  <c:pt idx="7">
                    <c:v>Dec: #</c:v>
                  </c:pt>
                  <c:pt idx="8">
                    <c:v>HA: +6hr</c:v>
                  </c:pt>
                </c15:dlblRangeCache>
              </c15:datalabelsRange>
            </c:ext>
            <c:ext xmlns:c16="http://schemas.microsoft.com/office/drawing/2014/chart" uri="{C3380CC4-5D6E-409C-BE32-E72D297353CC}">
              <c16:uniqueId val="{0000002D-432D-734E-B2C3-A7F0FE151DCB}"/>
            </c:ext>
          </c:extLst>
        </c:ser>
        <c:ser>
          <c:idx val="14"/>
          <c:order val="14"/>
          <c:tx>
            <c:v>"Instrument"</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2436BEF1-3888-294B-99C9-5F2C8333C12B}" type="CELLRANGE">
                      <a:rPr lang="en-US"/>
                      <a:pPr>
                        <a:defRPr sz="1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432D-734E-B2C3-A7F0FE151D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LBC!$BF$42</c:f>
              <c:numCache>
                <c:formatCode>General</c:formatCode>
                <c:ptCount val="1"/>
                <c:pt idx="0">
                  <c:v>310</c:v>
                </c:pt>
              </c:numCache>
            </c:numRef>
          </c:xVal>
          <c:yVal>
            <c:numRef>
              <c:f>LBC!$BG$42</c:f>
              <c:numCache>
                <c:formatCode>General</c:formatCode>
                <c:ptCount val="1"/>
                <c:pt idx="0">
                  <c:v>90</c:v>
                </c:pt>
              </c:numCache>
            </c:numRef>
          </c:yVal>
          <c:smooth val="0"/>
          <c:extLst>
            <c:ext xmlns:c15="http://schemas.microsoft.com/office/drawing/2012/chart" uri="{02D57815-91ED-43cb-92C2-25804820EDAC}">
              <c15:datalabelsRange>
                <c15:f>LBC!$BH$42</c15:f>
                <c15:dlblRangeCache>
                  <c:ptCount val="1"/>
                  <c:pt idx="0">
                    <c:v>LBC, UT=</c:v>
                  </c:pt>
                </c15:dlblRangeCache>
              </c15:datalabelsRange>
            </c:ext>
            <c:ext xmlns:c16="http://schemas.microsoft.com/office/drawing/2014/chart" uri="{C3380CC4-5D6E-409C-BE32-E72D297353CC}">
              <c16:uniqueId val="{0000002F-432D-734E-B2C3-A7F0FE151DCB}"/>
            </c:ext>
          </c:extLst>
        </c:ser>
        <c:ser>
          <c:idx val="15"/>
          <c:order val="15"/>
          <c:tx>
            <c:v>"UT"</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1846E74F-FEB1-F84B-832B-1ADDA87DD201}" type="CELLRANGE">
                      <a:rPr lang="en-US"/>
                      <a:pPr>
                        <a:defRPr sz="16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432D-734E-B2C3-A7F0FE151D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LBC!$BF$43</c:f>
              <c:numCache>
                <c:formatCode>General</c:formatCode>
                <c:ptCount val="1"/>
                <c:pt idx="0">
                  <c:v>350</c:v>
                </c:pt>
              </c:numCache>
            </c:numRef>
          </c:xVal>
          <c:yVal>
            <c:numRef>
              <c:f>LBC!$BG$43</c:f>
              <c:numCache>
                <c:formatCode>General</c:formatCode>
                <c:ptCount val="1"/>
                <c:pt idx="0">
                  <c:v>90</c:v>
                </c:pt>
              </c:numCache>
            </c:numRef>
          </c:yVal>
          <c:smooth val="0"/>
          <c:extLst>
            <c:ext xmlns:c15="http://schemas.microsoft.com/office/drawing/2012/chart" uri="{02D57815-91ED-43cb-92C2-25804820EDAC}">
              <c15:datalabelsRange>
                <c15:f>LBC!$BH$43</c15:f>
                <c15:dlblRangeCache>
                  <c:ptCount val="1"/>
                  <c:pt idx="0">
                    <c:v>9.00</c:v>
                  </c:pt>
                </c15:dlblRangeCache>
              </c15:datalabelsRange>
            </c:ext>
            <c:ext xmlns:c16="http://schemas.microsoft.com/office/drawing/2014/chart" uri="{C3380CC4-5D6E-409C-BE32-E72D297353CC}">
              <c16:uniqueId val="{00000031-432D-734E-B2C3-A7F0FE151DCB}"/>
            </c:ext>
          </c:extLst>
        </c:ser>
        <c:ser>
          <c:idx val="16"/>
          <c:order val="16"/>
          <c:tx>
            <c:v>20-deg</c:v>
          </c:tx>
          <c:spPr>
            <a:ln w="25400" cap="rnd">
              <a:noFill/>
              <a:round/>
            </a:ln>
            <a:effectLst/>
          </c:spPr>
          <c:marker>
            <c:symbol val="circle"/>
            <c:size val="2"/>
            <c:spPr>
              <a:solidFill>
                <a:schemeClr val="bg1"/>
              </a:solidFill>
              <a:ln w="9525">
                <a:solidFill>
                  <a:schemeClr val="bg2">
                    <a:lumMod val="75000"/>
                  </a:schemeClr>
                </a:solidFill>
              </a:ln>
              <a:effectLst/>
            </c:spPr>
          </c:marker>
          <c:errBars>
            <c:errDir val="x"/>
            <c:errBarType val="both"/>
            <c:errValType val="cust"/>
            <c:noEndCap val="0"/>
            <c:plus>
              <c:numRef>
                <c:f>Calcs!$S$43:$S$47</c:f>
                <c:numCache>
                  <c:formatCode>General</c:formatCode>
                  <c:ptCount val="5"/>
                  <c:pt idx="0">
                    <c:v>5.019099187716737</c:v>
                  </c:pt>
                  <c:pt idx="1">
                    <c:v>5.5168895948124588</c:v>
                  </c:pt>
                  <c:pt idx="2">
                    <c:v>7.0710678118654746</c:v>
                  </c:pt>
                  <c:pt idx="3">
                    <c:v>11.831007915762493</c:v>
                  </c:pt>
                  <c:pt idx="4">
                    <c:v>38.306487877701905</c:v>
                  </c:pt>
                </c:numCache>
              </c:numRef>
            </c:plus>
            <c:minus>
              <c:numRef>
                <c:f>Calcs!$S$43:$S$47</c:f>
                <c:numCache>
                  <c:formatCode>General</c:formatCode>
                  <c:ptCount val="5"/>
                  <c:pt idx="0">
                    <c:v>5.019099187716737</c:v>
                  </c:pt>
                  <c:pt idx="1">
                    <c:v>5.5168895948124588</c:v>
                  </c:pt>
                  <c:pt idx="2">
                    <c:v>7.0710678118654746</c:v>
                  </c:pt>
                  <c:pt idx="3">
                    <c:v>11.831007915762493</c:v>
                  </c:pt>
                  <c:pt idx="4">
                    <c:v>38.306487877701905</c:v>
                  </c:pt>
                </c:numCache>
              </c:numRef>
            </c:minus>
            <c:spPr>
              <a:noFill/>
              <a:ln w="9525" cap="flat" cmpd="sng" algn="ctr">
                <a:solidFill>
                  <a:schemeClr val="bg1">
                    <a:lumMod val="65000"/>
                  </a:schemeClr>
                </a:solidFill>
                <a:round/>
              </a:ln>
              <a:effectLst/>
            </c:spPr>
          </c:errBars>
          <c:errBars>
            <c:errDir val="y"/>
            <c:errBarType val="both"/>
            <c:errValType val="cust"/>
            <c:noEndCap val="0"/>
            <c:plus>
              <c:numRef>
                <c:f>Calcs!$T$43:$T$47</c:f>
                <c:numCache>
                  <c:formatCode>General</c:formatCode>
                  <c:ptCount val="5"/>
                  <c:pt idx="0">
                    <c:v>5</c:v>
                  </c:pt>
                  <c:pt idx="1">
                    <c:v>5</c:v>
                  </c:pt>
                  <c:pt idx="2">
                    <c:v>5</c:v>
                  </c:pt>
                  <c:pt idx="3">
                    <c:v>5</c:v>
                  </c:pt>
                  <c:pt idx="4">
                    <c:v>5</c:v>
                  </c:pt>
                </c:numCache>
              </c:numRef>
            </c:plus>
            <c:minus>
              <c:numRef>
                <c:f>Calcs!$T$43:$T$47</c:f>
                <c:numCache>
                  <c:formatCode>General</c:formatCode>
                  <c:ptCount val="5"/>
                  <c:pt idx="0">
                    <c:v>5</c:v>
                  </c:pt>
                  <c:pt idx="1">
                    <c:v>5</c:v>
                  </c:pt>
                  <c:pt idx="2">
                    <c:v>5</c:v>
                  </c:pt>
                  <c:pt idx="3">
                    <c:v>5</c:v>
                  </c:pt>
                  <c:pt idx="4">
                    <c:v>5</c:v>
                  </c:pt>
                </c:numCache>
              </c:numRef>
            </c:minus>
            <c:spPr>
              <a:noFill/>
              <a:ln w="9525" cap="flat" cmpd="sng" algn="ctr">
                <a:solidFill>
                  <a:schemeClr val="bg1">
                    <a:lumMod val="65000"/>
                  </a:schemeClr>
                </a:solidFill>
                <a:round/>
              </a:ln>
              <a:effectLst/>
            </c:spPr>
          </c:errBars>
          <c:xVal>
            <c:numRef>
              <c:f>Calcs!$Q$43:$Q$47</c:f>
              <c:numCache>
                <c:formatCode>General</c:formatCode>
                <c:ptCount val="5"/>
                <c:pt idx="0">
                  <c:v>190</c:v>
                </c:pt>
                <c:pt idx="1">
                  <c:v>190</c:v>
                </c:pt>
                <c:pt idx="2">
                  <c:v>190</c:v>
                </c:pt>
                <c:pt idx="3">
                  <c:v>190</c:v>
                </c:pt>
                <c:pt idx="4">
                  <c:v>190</c:v>
                </c:pt>
              </c:numCache>
            </c:numRef>
          </c:xVal>
          <c:yVal>
            <c:numRef>
              <c:f>Calcs!$R$43:$R$47</c:f>
              <c:numCache>
                <c:formatCode>General</c:formatCode>
                <c:ptCount val="5"/>
                <c:pt idx="0">
                  <c:v>5</c:v>
                </c:pt>
                <c:pt idx="1">
                  <c:v>25</c:v>
                </c:pt>
                <c:pt idx="2">
                  <c:v>45</c:v>
                </c:pt>
                <c:pt idx="3">
                  <c:v>65</c:v>
                </c:pt>
                <c:pt idx="4">
                  <c:v>82.5</c:v>
                </c:pt>
              </c:numCache>
            </c:numRef>
          </c:yVal>
          <c:smooth val="0"/>
          <c:extLst>
            <c:ext xmlns:c16="http://schemas.microsoft.com/office/drawing/2014/chart" uri="{C3380CC4-5D6E-409C-BE32-E72D297353CC}">
              <c16:uniqueId val="{00000032-432D-734E-B2C3-A7F0FE151DCB}"/>
            </c:ext>
          </c:extLst>
        </c:ser>
        <c:ser>
          <c:idx val="17"/>
          <c:order val="17"/>
          <c:tx>
            <c:v>10 deg label</c:v>
          </c:tx>
          <c:spPr>
            <a:ln w="25400" cap="rnd">
              <a:noFill/>
              <a:round/>
            </a:ln>
            <a:effectLst/>
          </c:spPr>
          <c:marker>
            <c:symbol val="none"/>
          </c:marker>
          <c:dLbls>
            <c:dLbl>
              <c:idx val="0"/>
              <c:tx>
                <c:rich>
                  <a:bodyPr/>
                  <a:lstStyle/>
                  <a:p>
                    <a:fld id="{5037838B-B4A4-7541-AC72-56822CEEAC8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432D-734E-B2C3-A7F0FE151DC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Calcs!$Q$48</c:f>
              <c:numCache>
                <c:formatCode>General</c:formatCode>
                <c:ptCount val="1"/>
                <c:pt idx="0">
                  <c:v>200</c:v>
                </c:pt>
              </c:numCache>
            </c:numRef>
          </c:xVal>
          <c:yVal>
            <c:numRef>
              <c:f>Calcs!$R$48</c:f>
              <c:numCache>
                <c:formatCode>General</c:formatCode>
                <c:ptCount val="1"/>
                <c:pt idx="0">
                  <c:v>7.5</c:v>
                </c:pt>
              </c:numCache>
            </c:numRef>
          </c:yVal>
          <c:smooth val="0"/>
          <c:extLst>
            <c:ext xmlns:c15="http://schemas.microsoft.com/office/drawing/2012/chart" uri="{02D57815-91ED-43cb-92C2-25804820EDAC}">
              <c15:datalabelsRange>
                <c15:f>Calcs!$S$48</c15:f>
                <c15:dlblRangeCache>
                  <c:ptCount val="1"/>
                  <c:pt idx="0">
                    <c:v>10-deg</c:v>
                  </c:pt>
                </c15:dlblRangeCache>
              </c15:datalabelsRange>
            </c:ext>
            <c:ext xmlns:c16="http://schemas.microsoft.com/office/drawing/2014/chart" uri="{C3380CC4-5D6E-409C-BE32-E72D297353CC}">
              <c16:uniqueId val="{00000034-432D-734E-B2C3-A7F0FE151DCB}"/>
            </c:ext>
          </c:extLst>
        </c:ser>
        <c:ser>
          <c:idx val="18"/>
          <c:order val="18"/>
          <c:tx>
            <c:v>Date</c:v>
          </c:tx>
          <c:spPr>
            <a:ln w="25400" cap="rnd">
              <a:noFill/>
              <a:round/>
            </a:ln>
            <a:effectLst/>
          </c:spPr>
          <c:marker>
            <c:symbol val="none"/>
          </c:marker>
          <c:dLbls>
            <c:dLbl>
              <c:idx val="0"/>
              <c:tx>
                <c:rich>
                  <a:bodyPr/>
                  <a:lstStyle/>
                  <a:p>
                    <a:fld id="{D8FE0A4A-BAEC-3F43-9AD2-5DBC0FBBBEB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7C5-9E47-9939-60AB1FAEB7F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Calcs!$S$21</c:f>
              <c:numCache>
                <c:formatCode>General</c:formatCode>
                <c:ptCount val="1"/>
                <c:pt idx="0">
                  <c:v>40</c:v>
                </c:pt>
              </c:numCache>
            </c:numRef>
          </c:xVal>
          <c:yVal>
            <c:numRef>
              <c:f>Calcs!$T$21</c:f>
              <c:numCache>
                <c:formatCode>General</c:formatCode>
                <c:ptCount val="1"/>
                <c:pt idx="0">
                  <c:v>90</c:v>
                </c:pt>
              </c:numCache>
            </c:numRef>
          </c:yVal>
          <c:smooth val="0"/>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67C5-9E47-9939-60AB1FAEB7FD}"/>
            </c:ext>
          </c:extLst>
        </c:ser>
        <c:dLbls>
          <c:showLegendKey val="0"/>
          <c:showVal val="0"/>
          <c:showCatName val="0"/>
          <c:showSerName val="0"/>
          <c:showPercent val="0"/>
          <c:showBubbleSize val="0"/>
        </c:dLbls>
        <c:axId val="955863904"/>
        <c:axId val="496986544"/>
      </c:scatterChart>
      <c:valAx>
        <c:axId val="955863904"/>
        <c:scaling>
          <c:orientation val="minMax"/>
          <c:max val="36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baseline="0"/>
                  <a:t>N                                        E                                                  S            Azimuth (deg)        W                                       N</a:t>
                </a:r>
                <a:endParaRPr lang="en-US" sz="1400" b="1"/>
              </a:p>
            </c:rich>
          </c:tx>
          <c:layout>
            <c:manualLayout>
              <c:xMode val="edge"/>
              <c:yMode val="edge"/>
              <c:x val="0.13250306742575427"/>
              <c:y val="0.923733255458892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6986544"/>
        <c:crosses val="autoZero"/>
        <c:crossBetween val="midCat"/>
        <c:majorUnit val="20"/>
      </c:valAx>
      <c:valAx>
        <c:axId val="496986544"/>
        <c:scaling>
          <c:orientation val="minMax"/>
          <c:max val="9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Altitude (deg)</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5863904"/>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100000">
          <a:schemeClr val="accent6">
            <a:lumMod val="30000"/>
            <a:lumOff val="70000"/>
          </a:schemeClr>
        </a:gs>
      </a:gsLst>
      <a:lin ang="27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Altitude through</a:t>
            </a:r>
            <a:r>
              <a:rPr lang="en-US" sz="1600" b="1" baseline="0"/>
              <a:t> the night</a:t>
            </a:r>
            <a:endParaRPr lang="en-US" sz="1600" b="1"/>
          </a:p>
        </c:rich>
      </c:tx>
      <c:layout>
        <c:manualLayout>
          <c:xMode val="edge"/>
          <c:yMode val="edge"/>
          <c:x val="0.36643377715889958"/>
          <c:y val="2.8316192767828707E-2"/>
        </c:manualLayout>
      </c:layout>
      <c:overlay val="0"/>
      <c:spPr>
        <a:noFill/>
        <a:ln>
          <a:noFill/>
        </a:ln>
        <a:effectLst/>
      </c:spPr>
    </c:title>
    <c:autoTitleDeleted val="0"/>
    <c:plotArea>
      <c:layout/>
      <c:scatterChart>
        <c:scatterStyle val="smoothMarker"/>
        <c:varyColors val="0"/>
        <c:ser>
          <c:idx val="17"/>
          <c:order val="0"/>
          <c:tx>
            <c:v>Moon</c:v>
          </c:tx>
          <c:spPr>
            <a:ln w="9525" cap="rnd">
              <a:solidFill>
                <a:schemeClr val="tx1"/>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LBC!$AZ$5:$AZ$37</c:f>
              <c:numCache>
                <c:formatCode>0</c:formatCode>
                <c:ptCount val="33"/>
                <c:pt idx="0">
                  <c:v>15.857360496757829</c:v>
                </c:pt>
                <c:pt idx="1">
                  <c:v>10.217680608668887</c:v>
                </c:pt>
                <c:pt idx="2">
                  <c:v>4.3719928023574637</c:v>
                </c:pt>
                <c:pt idx="3">
                  <c:v>-1.6329306079357193</c:v>
                </c:pt>
                <c:pt idx="4">
                  <c:v>-7.7587954851544456</c:v>
                </c:pt>
                <c:pt idx="5">
                  <c:v>-13.973118424042072</c:v>
                </c:pt>
                <c:pt idx="6">
                  <c:v>-20.2468407919676</c:v>
                </c:pt>
                <c:pt idx="7">
                  <c:v>-26.551971561349109</c:v>
                </c:pt>
                <c:pt idx="8">
                  <c:v>-32.858876431809172</c:v>
                </c:pt>
                <c:pt idx="9">
                  <c:v>-39.132585589290542</c:v>
                </c:pt>
                <c:pt idx="10">
                  <c:v>-45.326971744722989</c:v>
                </c:pt>
                <c:pt idx="11">
                  <c:v>-51.374523143676782</c:v>
                </c:pt>
                <c:pt idx="12">
                  <c:v>-57.167038369940038</c:v>
                </c:pt>
                <c:pt idx="13">
                  <c:v>-62.518059504067331</c:v>
                </c:pt>
                <c:pt idx="14">
                  <c:v>-67.094051739215317</c:v>
                </c:pt>
                <c:pt idx="15">
                  <c:v>-70.328700754037143</c:v>
                </c:pt>
                <c:pt idx="16">
                  <c:v>-71.493655838546616</c:v>
                </c:pt>
                <c:pt idx="17">
                  <c:v>-70.216608924255567</c:v>
                </c:pt>
                <c:pt idx="18">
                  <c:v>-66.902056263995831</c:v>
                </c:pt>
                <c:pt idx="19">
                  <c:v>-62.278637111804599</c:v>
                </c:pt>
                <c:pt idx="20">
                  <c:v>-56.900681184640575</c:v>
                </c:pt>
                <c:pt idx="21">
                  <c:v>-51.092698537767014</c:v>
                </c:pt>
                <c:pt idx="22">
                  <c:v>-45.03617572231542</c:v>
                </c:pt>
                <c:pt idx="23">
                  <c:v>-38.836731401420941</c:v>
                </c:pt>
                <c:pt idx="24">
                  <c:v>-32.560526477767652</c:v>
                </c:pt>
                <c:pt idx="25">
                  <c:v>-26.252976378463654</c:v>
                </c:pt>
                <c:pt idx="26">
                  <c:v>-19.948689835251908</c:v>
                </c:pt>
                <c:pt idx="27">
                  <c:v>-13.677150992021119</c:v>
                </c:pt>
                <c:pt idx="28">
                  <c:v>-7.4663449551510865</c:v>
                </c:pt>
                <c:pt idx="29">
                  <c:v>-1.3454404045085029</c:v>
                </c:pt>
                <c:pt idx="30">
                  <c:v>4.652859215761362</c:v>
                </c:pt>
                <c:pt idx="31">
                  <c:v>10.489921292141169</c:v>
                </c:pt>
                <c:pt idx="32">
                  <c:v>16.118498732643513</c:v>
                </c:pt>
              </c:numCache>
            </c:numRef>
          </c:yVal>
          <c:smooth val="1"/>
          <c:extLst>
            <c:ext xmlns:c16="http://schemas.microsoft.com/office/drawing/2014/chart" uri="{C3380CC4-5D6E-409C-BE32-E72D297353CC}">
              <c16:uniqueId val="{00000000-C686-B94C-B302-953B2E05696D}"/>
            </c:ext>
          </c:extLst>
        </c:ser>
        <c:ser>
          <c:idx val="0"/>
          <c:order val="1"/>
          <c:tx>
            <c:strRef>
              <c:f>LBC!$W$5</c:f>
              <c:strCache>
                <c:ptCount val="1"/>
                <c:pt idx="0">
                  <c:v>N5474</c:v>
                </c:pt>
              </c:strCache>
            </c:strRef>
          </c:tx>
          <c:spPr>
            <a:ln w="9525" cap="rnd">
              <a:solidFill>
                <a:srgbClr val="0070C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LBC!$BA$5:$BA$37</c:f>
              <c:numCache>
                <c:formatCode>0</c:formatCode>
                <c:ptCount val="33"/>
                <c:pt idx="0">
                  <c:v>-3.6461263180346104</c:v>
                </c:pt>
                <c:pt idx="1">
                  <c:v>-3.3397498719300343</c:v>
                </c:pt>
                <c:pt idx="2">
                  <c:v>-2.5492170936942697</c:v>
                </c:pt>
                <c:pt idx="3">
                  <c:v>-1.2888343400827162</c:v>
                </c:pt>
                <c:pt idx="4">
                  <c:v>0.41954323514043884</c:v>
                </c:pt>
                <c:pt idx="5">
                  <c:v>2.5480301965222902</c:v>
                </c:pt>
                <c:pt idx="6">
                  <c:v>5.0644144584358823</c:v>
                </c:pt>
                <c:pt idx="7">
                  <c:v>7.9338076756297395</c:v>
                </c:pt>
                <c:pt idx="8">
                  <c:v>11.120061102367764</c:v>
                </c:pt>
                <c:pt idx="9">
                  <c:v>14.586838858680213</c:v>
                </c:pt>
                <c:pt idx="10">
                  <c:v>18.298304922470997</c:v>
                </c:pt>
                <c:pt idx="11">
                  <c:v>22.219421314842645</c:v>
                </c:pt>
                <c:pt idx="12">
                  <c:v>26.315868325452403</c:v>
                </c:pt>
                <c:pt idx="13">
                  <c:v>30.5535837173388</c:v>
                </c:pt>
                <c:pt idx="14">
                  <c:v>34.897876634916116</c:v>
                </c:pt>
                <c:pt idx="15">
                  <c:v>39.311998069397013</c:v>
                </c:pt>
                <c:pt idx="16">
                  <c:v>43.754928309480121</c:v>
                </c:pt>
                <c:pt idx="17">
                  <c:v>48.177945165043468</c:v>
                </c:pt>
                <c:pt idx="18">
                  <c:v>52.519229338518272</c:v>
                </c:pt>
                <c:pt idx="19">
                  <c:v>56.695349190130884</c:v>
                </c:pt>
                <c:pt idx="20">
                  <c:v>60.588212459251345</c:v>
                </c:pt>
                <c:pt idx="21">
                  <c:v>64.027294080768399</c:v>
                </c:pt>
                <c:pt idx="22">
                  <c:v>66.773858956129814</c:v>
                </c:pt>
                <c:pt idx="23">
                  <c:v>68.533173584161318</c:v>
                </c:pt>
                <c:pt idx="24">
                  <c:v>69.039190751152233</c:v>
                </c:pt>
                <c:pt idx="25">
                  <c:v>68.200334765662973</c:v>
                </c:pt>
                <c:pt idx="26">
                  <c:v>66.164423855894853</c:v>
                </c:pt>
                <c:pt idx="27">
                  <c:v>63.217548843054644</c:v>
                </c:pt>
                <c:pt idx="28">
                  <c:v>59.644793809818381</c:v>
                </c:pt>
                <c:pt idx="29">
                  <c:v>55.667093353228054</c:v>
                </c:pt>
                <c:pt idx="30">
                  <c:v>51.439989162197541</c:v>
                </c:pt>
                <c:pt idx="31">
                  <c:v>47.07134737327312</c:v>
                </c:pt>
                <c:pt idx="32">
                  <c:v>42.63814113198044</c:v>
                </c:pt>
              </c:numCache>
            </c:numRef>
          </c:yVal>
          <c:smooth val="1"/>
          <c:extLst>
            <c:ext xmlns:c16="http://schemas.microsoft.com/office/drawing/2014/chart" uri="{C3380CC4-5D6E-409C-BE32-E72D297353CC}">
              <c16:uniqueId val="{00000001-C686-B94C-B302-953B2E05696D}"/>
            </c:ext>
          </c:extLst>
        </c:ser>
        <c:ser>
          <c:idx val="1"/>
          <c:order val="2"/>
          <c:tx>
            <c:strRef>
              <c:f>LBC!$W$6</c:f>
              <c:strCache>
                <c:ptCount val="1"/>
                <c:pt idx="0">
                  <c:v>N4826</c:v>
                </c:pt>
              </c:strCache>
            </c:strRef>
          </c:tx>
          <c:spPr>
            <a:ln w="9525" cap="rnd">
              <a:solidFill>
                <a:srgbClr val="FF000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LBC!$BB$5:$BB$37</c:f>
              <c:numCache>
                <c:formatCode>0</c:formatCode>
                <c:ptCount val="33"/>
                <c:pt idx="0">
                  <c:v>-32.90662932617645</c:v>
                </c:pt>
                <c:pt idx="1">
                  <c:v>-30.334664729386894</c:v>
                </c:pt>
                <c:pt idx="2">
                  <c:v>-27.050222971376652</c:v>
                </c:pt>
                <c:pt idx="3">
                  <c:v>-23.159755225659577</c:v>
                </c:pt>
                <c:pt idx="4">
                  <c:v>-18.764333846830656</c:v>
                </c:pt>
                <c:pt idx="5">
                  <c:v>-13.953668983317376</c:v>
                </c:pt>
                <c:pt idx="6">
                  <c:v>-8.8041157513505617</c:v>
                </c:pt>
                <c:pt idx="7">
                  <c:v>-3.3791024011655182</c:v>
                </c:pt>
                <c:pt idx="8">
                  <c:v>2.2692825738368896</c:v>
                </c:pt>
                <c:pt idx="9">
                  <c:v>8.0983251525961144</c:v>
                </c:pt>
                <c:pt idx="10">
                  <c:v>14.072733806840672</c:v>
                </c:pt>
                <c:pt idx="11">
                  <c:v>20.16284129343531</c:v>
                </c:pt>
                <c:pt idx="12">
                  <c:v>26.342950363891418</c:v>
                </c:pt>
                <c:pt idx="13">
                  <c:v>32.589709135013081</c:v>
                </c:pt>
                <c:pt idx="14">
                  <c:v>38.88028398561827</c:v>
                </c:pt>
                <c:pt idx="15">
                  <c:v>45.189878696145513</c:v>
                </c:pt>
                <c:pt idx="16">
                  <c:v>51.487633478919918</c:v>
                </c:pt>
                <c:pt idx="17">
                  <c:v>57.728580409390403</c:v>
                </c:pt>
                <c:pt idx="18">
                  <c:v>63.835384865646787</c:v>
                </c:pt>
                <c:pt idx="19">
                  <c:v>69.650980204558266</c:v>
                </c:pt>
                <c:pt idx="20">
                  <c:v>74.801975084918297</c:v>
                </c:pt>
                <c:pt idx="21">
                  <c:v>78.339606694058972</c:v>
                </c:pt>
                <c:pt idx="22">
                  <c:v>78.625233356749746</c:v>
                </c:pt>
                <c:pt idx="23">
                  <c:v>75.465024115535201</c:v>
                </c:pt>
                <c:pt idx="24">
                  <c:v>70.47294524209866</c:v>
                </c:pt>
                <c:pt idx="25">
                  <c:v>64.724078748205827</c:v>
                </c:pt>
                <c:pt idx="26">
                  <c:v>58.647618507653206</c:v>
                </c:pt>
                <c:pt idx="27">
                  <c:v>52.42054520575148</c:v>
                </c:pt>
                <c:pt idx="28">
                  <c:v>46.127887286932079</c:v>
                </c:pt>
                <c:pt idx="29">
                  <c:v>39.81787670330543</c:v>
                </c:pt>
                <c:pt idx="30">
                  <c:v>33.52281515936123</c:v>
                </c:pt>
                <c:pt idx="31">
                  <c:v>27.268081548068725</c:v>
                </c:pt>
                <c:pt idx="32">
                  <c:v>21.076619594071673</c:v>
                </c:pt>
              </c:numCache>
            </c:numRef>
          </c:yVal>
          <c:smooth val="1"/>
          <c:extLst>
            <c:ext xmlns:c16="http://schemas.microsoft.com/office/drawing/2014/chart" uri="{C3380CC4-5D6E-409C-BE32-E72D297353CC}">
              <c16:uniqueId val="{00000002-C686-B94C-B302-953B2E05696D}"/>
            </c:ext>
          </c:extLst>
        </c:ser>
        <c:ser>
          <c:idx val="2"/>
          <c:order val="3"/>
          <c:tx>
            <c:strRef>
              <c:f>LBC!$W$7</c:f>
              <c:strCache>
                <c:ptCount val="1"/>
                <c:pt idx="0">
                  <c:v>N4236</c:v>
                </c:pt>
              </c:strCache>
            </c:strRef>
          </c:tx>
          <c:spPr>
            <a:ln w="9525" cap="rnd">
              <a:solidFill>
                <a:srgbClr val="FF000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LBC!$BC$5:$BC$37</c:f>
              <c:numCache>
                <c:formatCode>0</c:formatCode>
                <c:ptCount val="33"/>
                <c:pt idx="0">
                  <c:v>14.212283471296226</c:v>
                </c:pt>
                <c:pt idx="1">
                  <c:v>15.423874980062543</c:v>
                </c:pt>
                <c:pt idx="2">
                  <c:v>16.888209040871352</c:v>
                </c:pt>
                <c:pt idx="3">
                  <c:v>18.586595281105538</c:v>
                </c:pt>
                <c:pt idx="4">
                  <c:v>20.497811825027533</c:v>
                </c:pt>
                <c:pt idx="5">
                  <c:v>22.598401921782457</c:v>
                </c:pt>
                <c:pt idx="6">
                  <c:v>24.862876729070141</c:v>
                </c:pt>
                <c:pt idx="7">
                  <c:v>27.263795570589437</c:v>
                </c:pt>
                <c:pt idx="8">
                  <c:v>29.771702595861569</c:v>
                </c:pt>
                <c:pt idx="9">
                  <c:v>32.354906556345568</c:v>
                </c:pt>
                <c:pt idx="10">
                  <c:v>34.979099884235815</c:v>
                </c:pt>
                <c:pt idx="11">
                  <c:v>37.606828042246747</c:v>
                </c:pt>
                <c:pt idx="12">
                  <c:v>40.196846571123395</c:v>
                </c:pt>
                <c:pt idx="13">
                  <c:v>42.703450880219272</c:v>
                </c:pt>
                <c:pt idx="14">
                  <c:v>45.075943951472532</c:v>
                </c:pt>
                <c:pt idx="15">
                  <c:v>47.258526848611432</c:v>
                </c:pt>
                <c:pt idx="16">
                  <c:v>49.19104280171436</c:v>
                </c:pt>
                <c:pt idx="17">
                  <c:v>50.811114187925128</c:v>
                </c:pt>
                <c:pt idx="18">
                  <c:v>52.058141223279414</c:v>
                </c:pt>
                <c:pt idx="19">
                  <c:v>52.879191058663345</c:v>
                </c:pt>
                <c:pt idx="20">
                  <c:v>53.235926885126368</c:v>
                </c:pt>
                <c:pt idx="21">
                  <c:v>53.110735553971281</c:v>
                </c:pt>
                <c:pt idx="22">
                  <c:v>52.509867174583349</c:v>
                </c:pt>
                <c:pt idx="23">
                  <c:v>51.462297280714168</c:v>
                </c:pt>
                <c:pt idx="24">
                  <c:v>50.014791133894867</c:v>
                </c:pt>
                <c:pt idx="25">
                  <c:v>48.225084631710232</c:v>
                </c:pt>
                <c:pt idx="26">
                  <c:v>46.155321850360998</c:v>
                </c:pt>
                <c:pt idx="27">
                  <c:v>43.867103541895716</c:v>
                </c:pt>
                <c:pt idx="28">
                  <c:v>41.418494856382686</c:v>
                </c:pt>
                <c:pt idx="29">
                  <c:v>38.862679226057644</c:v>
                </c:pt>
                <c:pt idx="30">
                  <c:v>36.247718991218576</c:v>
                </c:pt>
                <c:pt idx="31">
                  <c:v>33.616928252622749</c:v>
                </c:pt>
                <c:pt idx="32">
                  <c:v>31.0095036782383</c:v>
                </c:pt>
              </c:numCache>
            </c:numRef>
          </c:yVal>
          <c:smooth val="1"/>
          <c:extLst>
            <c:ext xmlns:c16="http://schemas.microsoft.com/office/drawing/2014/chart" uri="{C3380CC4-5D6E-409C-BE32-E72D297353CC}">
              <c16:uniqueId val="{00000003-C686-B94C-B302-953B2E05696D}"/>
            </c:ext>
          </c:extLst>
        </c:ser>
        <c:ser>
          <c:idx val="3"/>
          <c:order val="4"/>
          <c:tx>
            <c:strRef>
              <c:f>LBC!$W$8</c:f>
              <c:strCache>
                <c:ptCount val="1"/>
                <c:pt idx="0">
                  <c:v>N4449</c:v>
                </c:pt>
              </c:strCache>
            </c:strRef>
          </c:tx>
          <c:spPr>
            <a:ln w="9525" cap="rnd">
              <a:solidFill>
                <a:srgbClr val="0070C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LBC!$BD$5:$BD$37</c:f>
              <c:numCache>
                <c:formatCode>0</c:formatCode>
                <c:ptCount val="33"/>
                <c:pt idx="0">
                  <c:v>-9.8539790374321203</c:v>
                </c:pt>
                <c:pt idx="1">
                  <c:v>-7.6356682469552402</c:v>
                </c:pt>
                <c:pt idx="2">
                  <c:v>-4.9280511400409592</c:v>
                </c:pt>
                <c:pt idx="3">
                  <c:v>-1.778476582635504</c:v>
                </c:pt>
                <c:pt idx="4">
                  <c:v>1.7647602198538606</c:v>
                </c:pt>
                <c:pt idx="5">
                  <c:v>5.6545980805631428</c:v>
                </c:pt>
                <c:pt idx="6">
                  <c:v>9.8466289285694231</c:v>
                </c:pt>
                <c:pt idx="7">
                  <c:v>14.299843522015594</c:v>
                </c:pt>
                <c:pt idx="8">
                  <c:v>18.976844841369466</c:v>
                </c:pt>
                <c:pt idx="9">
                  <c:v>23.84366611996095</c:v>
                </c:pt>
                <c:pt idx="10">
                  <c:v>28.869292424821527</c:v>
                </c:pt>
                <c:pt idx="11">
                  <c:v>34.024926258051067</c:v>
                </c:pt>
                <c:pt idx="12">
                  <c:v>39.282957237955749</c:v>
                </c:pt>
                <c:pt idx="13">
                  <c:v>44.615470026887188</c:v>
                </c:pt>
                <c:pt idx="14">
                  <c:v>49.991887010665558</c:v>
                </c:pt>
                <c:pt idx="15">
                  <c:v>55.374819833666635</c:v>
                </c:pt>
                <c:pt idx="16">
                  <c:v>60.711921967302978</c:v>
                </c:pt>
                <c:pt idx="17">
                  <c:v>65.918109586289333</c:v>
                </c:pt>
                <c:pt idx="18">
                  <c:v>70.832908286378412</c:v>
                </c:pt>
                <c:pt idx="19">
                  <c:v>75.113377851739074</c:v>
                </c:pt>
                <c:pt idx="20">
                  <c:v>78.014984092155714</c:v>
                </c:pt>
                <c:pt idx="21">
                  <c:v>78.424555349084827</c:v>
                </c:pt>
                <c:pt idx="22">
                  <c:v>76.117379534680396</c:v>
                </c:pt>
                <c:pt idx="23">
                  <c:v>72.126722796924341</c:v>
                </c:pt>
                <c:pt idx="24">
                  <c:v>67.343729634676365</c:v>
                </c:pt>
                <c:pt idx="25">
                  <c:v>62.198404880934056</c:v>
                </c:pt>
                <c:pt idx="26">
                  <c:v>56.887470517054616</c:v>
                </c:pt>
                <c:pt idx="27">
                  <c:v>51.511202291128832</c:v>
                </c:pt>
                <c:pt idx="28">
                  <c:v>46.128717110439389</c:v>
                </c:pt>
                <c:pt idx="29">
                  <c:v>40.780531138018766</c:v>
                </c:pt>
                <c:pt idx="30">
                  <c:v>35.49860758309417</c:v>
                </c:pt>
                <c:pt idx="31">
                  <c:v>30.31132025615328</c:v>
                </c:pt>
                <c:pt idx="32">
                  <c:v>25.246187402639872</c:v>
                </c:pt>
              </c:numCache>
            </c:numRef>
          </c:yVal>
          <c:smooth val="1"/>
          <c:extLst>
            <c:ext xmlns:c16="http://schemas.microsoft.com/office/drawing/2014/chart" uri="{C3380CC4-5D6E-409C-BE32-E72D297353CC}">
              <c16:uniqueId val="{00000004-C686-B94C-B302-953B2E05696D}"/>
            </c:ext>
          </c:extLst>
        </c:ser>
        <c:ser>
          <c:idx val="4"/>
          <c:order val="5"/>
          <c:tx>
            <c:strRef>
              <c:f>LBC!$W$9</c:f>
              <c:strCache>
                <c:ptCount val="1"/>
                <c:pt idx="0">
                  <c:v>N4605</c:v>
                </c:pt>
              </c:strCache>
            </c:strRef>
          </c:tx>
          <c:spPr>
            <a:ln w="9525" cap="rnd">
              <a:solidFill>
                <a:srgbClr val="00B0F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LBC!$BE$5:$BE$37</c:f>
              <c:numCache>
                <c:formatCode>0</c:formatCode>
                <c:ptCount val="33"/>
                <c:pt idx="0">
                  <c:v>6.0057646590334919</c:v>
                </c:pt>
                <c:pt idx="1">
                  <c:v>7.3269897413929144</c:v>
                </c:pt>
                <c:pt idx="2">
                  <c:v>8.997085131802665</c:v>
                </c:pt>
                <c:pt idx="3">
                  <c:v>10.993170958988705</c:v>
                </c:pt>
                <c:pt idx="4">
                  <c:v>13.289309489508025</c:v>
                </c:pt>
                <c:pt idx="5">
                  <c:v>15.857298673740482</c:v>
                </c:pt>
                <c:pt idx="6">
                  <c:v>18.667310801106009</c:v>
                </c:pt>
                <c:pt idx="7">
                  <c:v>21.688318170703237</c:v>
                </c:pt>
                <c:pt idx="8">
                  <c:v>24.88826616506358</c:v>
                </c:pt>
                <c:pt idx="9">
                  <c:v>28.233963431602298</c:v>
                </c:pt>
                <c:pt idx="10">
                  <c:v>31.690656978777728</c:v>
                </c:pt>
                <c:pt idx="11">
                  <c:v>35.221246927655685</c:v>
                </c:pt>
                <c:pt idx="12">
                  <c:v>38.785073709125157</c:v>
                </c:pt>
                <c:pt idx="13">
                  <c:v>42.336186494960842</c:v>
                </c:pt>
                <c:pt idx="14">
                  <c:v>45.820994045597146</c:v>
                </c:pt>
                <c:pt idx="15">
                  <c:v>49.175254304371236</c:v>
                </c:pt>
                <c:pt idx="16">
                  <c:v>52.320581388845831</c:v>
                </c:pt>
                <c:pt idx="17">
                  <c:v>55.161234648491586</c:v>
                </c:pt>
                <c:pt idx="18">
                  <c:v>57.583150675204422</c:v>
                </c:pt>
                <c:pt idx="19">
                  <c:v>59.458907170209017</c:v>
                </c:pt>
                <c:pt idx="20">
                  <c:v>60.663137431885758</c:v>
                </c:pt>
                <c:pt idx="21">
                  <c:v>61.099316324597531</c:v>
                </c:pt>
                <c:pt idx="22">
                  <c:v>60.72879566542332</c:v>
                </c:pt>
                <c:pt idx="23">
                  <c:v>59.584539516843066</c:v>
                </c:pt>
                <c:pt idx="24">
                  <c:v>57.759332804267778</c:v>
                </c:pt>
                <c:pt idx="25">
                  <c:v>55.377308835724392</c:v>
                </c:pt>
                <c:pt idx="26">
                  <c:v>52.566469426280179</c:v>
                </c:pt>
                <c:pt idx="27">
                  <c:v>49.442274355719903</c:v>
                </c:pt>
                <c:pt idx="28">
                  <c:v>46.101982259342314</c:v>
                </c:pt>
                <c:pt idx="29">
                  <c:v>42.625294991370346</c:v>
                </c:pt>
                <c:pt idx="30">
                  <c:v>39.077479710892518</c:v>
                </c:pt>
                <c:pt idx="31">
                  <c:v>35.512879212177481</c:v>
                </c:pt>
                <c:pt idx="32">
                  <c:v>31.977973550653306</c:v>
                </c:pt>
              </c:numCache>
            </c:numRef>
          </c:yVal>
          <c:smooth val="1"/>
          <c:extLst>
            <c:ext xmlns:c16="http://schemas.microsoft.com/office/drawing/2014/chart" uri="{C3380CC4-5D6E-409C-BE32-E72D297353CC}">
              <c16:uniqueId val="{00000005-C686-B94C-B302-953B2E05696D}"/>
            </c:ext>
          </c:extLst>
        </c:ser>
        <c:ser>
          <c:idx val="18"/>
          <c:order val="6"/>
          <c:tx>
            <c:strRef>
              <c:f>LBC!$W$10</c:f>
              <c:strCache>
                <c:ptCount val="1"/>
                <c:pt idx="0">
                  <c:v>SN95n</c:v>
                </c:pt>
              </c:strCache>
            </c:strRef>
          </c:tx>
          <c:spPr>
            <a:ln w="9525" cap="rnd">
              <a:solidFill>
                <a:srgbClr val="FF000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LBC!$BF$5:$BF$37</c:f>
              <c:numCache>
                <c:formatCode>0</c:formatCode>
                <c:ptCount val="33"/>
                <c:pt idx="0">
                  <c:v>-65.633925510296663</c:v>
                </c:pt>
                <c:pt idx="1">
                  <c:v>-67.343626970536704</c:v>
                </c:pt>
                <c:pt idx="2">
                  <c:v>-67.010572255246359</c:v>
                </c:pt>
                <c:pt idx="3">
                  <c:v>-64.716086388453505</c:v>
                </c:pt>
                <c:pt idx="4">
                  <c:v>-60.925493067660035</c:v>
                </c:pt>
                <c:pt idx="5">
                  <c:v>-56.145195759682451</c:v>
                </c:pt>
                <c:pt idx="6">
                  <c:v>-50.745033571116615</c:v>
                </c:pt>
                <c:pt idx="7">
                  <c:v>-44.959444549959478</c:v>
                </c:pt>
                <c:pt idx="8">
                  <c:v>-38.933338508673977</c:v>
                </c:pt>
                <c:pt idx="9">
                  <c:v>-32.758873963604728</c:v>
                </c:pt>
                <c:pt idx="10">
                  <c:v>-26.498016483828476</c:v>
                </c:pt>
                <c:pt idx="11">
                  <c:v>-20.195623860504952</c:v>
                </c:pt>
                <c:pt idx="12">
                  <c:v>-13.887183761859296</c:v>
                </c:pt>
                <c:pt idx="13">
                  <c:v>-7.6036913378212381</c:v>
                </c:pt>
                <c:pt idx="14">
                  <c:v>-1.375069193509286</c:v>
                </c:pt>
                <c:pt idx="15">
                  <c:v>4.7670561774933224</c:v>
                </c:pt>
                <c:pt idx="16">
                  <c:v>10.7867034266584</c:v>
                </c:pt>
                <c:pt idx="17">
                  <c:v>16.640636103719942</c:v>
                </c:pt>
                <c:pt idx="18">
                  <c:v>22.27492019599585</c:v>
                </c:pt>
                <c:pt idx="19">
                  <c:v>27.620754141617574</c:v>
                </c:pt>
                <c:pt idx="20">
                  <c:v>32.589654161330067</c:v>
                </c:pt>
                <c:pt idx="21">
                  <c:v>37.068741525266546</c:v>
                </c:pt>
                <c:pt idx="22">
                  <c:v>40.91825841885192</c:v>
                </c:pt>
                <c:pt idx="23">
                  <c:v>43.975602007900157</c:v>
                </c:pt>
                <c:pt idx="24">
                  <c:v>46.071834968891622</c:v>
                </c:pt>
                <c:pt idx="25">
                  <c:v>47.063889103458642</c:v>
                </c:pt>
                <c:pt idx="26">
                  <c:v>46.874574655078369</c:v>
                </c:pt>
                <c:pt idx="27">
                  <c:v>45.519140741222742</c:v>
                </c:pt>
                <c:pt idx="28">
                  <c:v>43.099750003082008</c:v>
                </c:pt>
                <c:pt idx="29">
                  <c:v>39.771990881934499</c:v>
                </c:pt>
                <c:pt idx="30">
                  <c:v>35.705549180440443</c:v>
                </c:pt>
                <c:pt idx="31">
                  <c:v>31.056839171079158</c:v>
                </c:pt>
                <c:pt idx="32">
                  <c:v>25.957086744826501</c:v>
                </c:pt>
              </c:numCache>
            </c:numRef>
          </c:yVal>
          <c:smooth val="1"/>
          <c:extLst>
            <c:ext xmlns:c16="http://schemas.microsoft.com/office/drawing/2014/chart" uri="{C3380CC4-5D6E-409C-BE32-E72D297353CC}">
              <c16:uniqueId val="{00000006-C686-B94C-B302-953B2E05696D}"/>
            </c:ext>
          </c:extLst>
        </c:ser>
        <c:ser>
          <c:idx val="20"/>
          <c:order val="7"/>
          <c:tx>
            <c:strRef>
              <c:f>LBC!$W$11</c:f>
              <c:strCache>
                <c:ptCount val="1"/>
              </c:strCache>
            </c:strRef>
          </c:tx>
          <c:spPr>
            <a:ln w="12700" cap="rnd">
              <a:solidFill>
                <a:srgbClr val="00B0F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LBC!$BG$5:$BG$37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7-C686-B94C-B302-953B2E05696D}"/>
            </c:ext>
          </c:extLst>
        </c:ser>
        <c:ser>
          <c:idx val="21"/>
          <c:order val="8"/>
          <c:tx>
            <c:strRef>
              <c:f>LBC!$W$12</c:f>
              <c:strCache>
                <c:ptCount val="1"/>
              </c:strCache>
            </c:strRef>
          </c:tx>
          <c:spPr>
            <a:ln w="9525" cap="rnd">
              <a:solidFill>
                <a:srgbClr val="00B0F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LBC!$BH$5:$BH$37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8-C686-B94C-B302-953B2E05696D}"/>
            </c:ext>
          </c:extLst>
        </c:ser>
        <c:ser>
          <c:idx val="22"/>
          <c:order val="9"/>
          <c:tx>
            <c:strRef>
              <c:f>LBC!$W$13</c:f>
              <c:strCache>
                <c:ptCount val="1"/>
              </c:strCache>
            </c:strRef>
          </c:tx>
          <c:spPr>
            <a:ln w="12700" cap="rnd">
              <a:solidFill>
                <a:srgbClr val="FF000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LBC!$BI$5:$BI$37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9-C686-B94C-B302-953B2E05696D}"/>
            </c:ext>
          </c:extLst>
        </c:ser>
        <c:ser>
          <c:idx val="23"/>
          <c:order val="10"/>
          <c:tx>
            <c:strRef>
              <c:f>LBC!$W$14</c:f>
              <c:strCache>
                <c:ptCount val="1"/>
              </c:strCache>
            </c:strRef>
          </c:tx>
          <c:spPr>
            <a:ln w="12700" cap="rnd">
              <a:solidFill>
                <a:srgbClr val="00B05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LBC!$BJ$5:$BJ$37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A-C686-B94C-B302-953B2E05696D}"/>
            </c:ext>
          </c:extLst>
        </c:ser>
        <c:ser>
          <c:idx val="24"/>
          <c:order val="11"/>
          <c:tx>
            <c:strRef>
              <c:f>LBC!$W$15</c:f>
              <c:strCache>
                <c:ptCount val="1"/>
              </c:strCache>
            </c:strRef>
          </c:tx>
          <c:spPr>
            <a:ln w="19050" cap="rnd">
              <a:solidFill>
                <a:schemeClr val="accent1">
                  <a:lumMod val="60000"/>
                  <a:lumOff val="40000"/>
                </a:schemeClr>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LBC!$BK$5:$BK$37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B-C686-B94C-B302-953B2E05696D}"/>
            </c:ext>
          </c:extLst>
        </c:ser>
        <c:ser>
          <c:idx val="25"/>
          <c:order val="12"/>
          <c:tx>
            <c:strRef>
              <c:f>LBC!$W$16</c:f>
              <c:strCache>
                <c:ptCount val="1"/>
              </c:strCache>
            </c:strRef>
          </c:tx>
          <c:spPr>
            <a:ln w="19050" cap="rnd">
              <a:solidFill>
                <a:schemeClr val="accent2">
                  <a:lumMod val="60000"/>
                  <a:lumOff val="40000"/>
                </a:schemeClr>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LBC!$BL$5:$BL$37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C-C686-B94C-B302-953B2E05696D}"/>
            </c:ext>
          </c:extLst>
        </c:ser>
        <c:ser>
          <c:idx val="26"/>
          <c:order val="13"/>
          <c:tx>
            <c:strRef>
              <c:f>LBC!$W$17</c:f>
              <c:strCache>
                <c:ptCount val="1"/>
              </c:strCache>
            </c:strRef>
          </c:tx>
          <c:spPr>
            <a:ln w="19050" cap="rnd">
              <a:solidFill>
                <a:schemeClr val="accent3">
                  <a:lumMod val="60000"/>
                  <a:lumOff val="40000"/>
                </a:schemeClr>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LBC!$BM$5:$BM$37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D-C686-B94C-B302-953B2E05696D}"/>
            </c:ext>
          </c:extLst>
        </c:ser>
        <c:ser>
          <c:idx val="27"/>
          <c:order val="14"/>
          <c:tx>
            <c:strRef>
              <c:f>LBC!$W$18</c:f>
              <c:strCache>
                <c:ptCount val="1"/>
              </c:strCache>
            </c:strRef>
          </c:tx>
          <c:spPr>
            <a:ln w="12700" cap="rnd">
              <a:solidFill>
                <a:srgbClr val="FF000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LBC!$BN$5:$BN$37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E-C686-B94C-B302-953B2E05696D}"/>
            </c:ext>
          </c:extLst>
        </c:ser>
        <c:ser>
          <c:idx val="28"/>
          <c:order val="15"/>
          <c:tx>
            <c:strRef>
              <c:f>LBC!$W$19</c:f>
              <c:strCache>
                <c:ptCount val="1"/>
              </c:strCache>
            </c:strRef>
          </c:tx>
          <c:spPr>
            <a:ln w="12700" cap="rnd">
              <a:solidFill>
                <a:srgbClr val="00B0F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LBC!$BO$5:$BO$37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0F-C686-B94C-B302-953B2E05696D}"/>
            </c:ext>
          </c:extLst>
        </c:ser>
        <c:ser>
          <c:idx val="29"/>
          <c:order val="16"/>
          <c:tx>
            <c:strRef>
              <c:f>LBC!$W$20</c:f>
              <c:strCache>
                <c:ptCount val="1"/>
              </c:strCache>
            </c:strRef>
          </c:tx>
          <c:spPr>
            <a:ln w="12700" cap="rnd">
              <a:solidFill>
                <a:srgbClr val="00B0F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LBC!$BP$5:$BP$37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0-C686-B94C-B302-953B2E05696D}"/>
            </c:ext>
          </c:extLst>
        </c:ser>
        <c:ser>
          <c:idx val="30"/>
          <c:order val="17"/>
          <c:tx>
            <c:strRef>
              <c:f>LBC!$W$21</c:f>
              <c:strCache>
                <c:ptCount val="1"/>
              </c:strCache>
            </c:strRef>
          </c:tx>
          <c:spPr>
            <a:ln w="12700" cap="rnd">
              <a:solidFill>
                <a:srgbClr val="00B0F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LBC!$BQ$5:$BQ$37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1-C686-B94C-B302-953B2E05696D}"/>
            </c:ext>
          </c:extLst>
        </c:ser>
        <c:ser>
          <c:idx val="31"/>
          <c:order val="18"/>
          <c:tx>
            <c:strRef>
              <c:f>LBC!$W$22</c:f>
              <c:strCache>
                <c:ptCount val="1"/>
              </c:strCache>
            </c:strRef>
          </c:tx>
          <c:spPr>
            <a:ln w="12700" cap="rnd">
              <a:solidFill>
                <a:srgbClr val="FF000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LBC!$BR$5:$BR$37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2-C686-B94C-B302-953B2E05696D}"/>
            </c:ext>
          </c:extLst>
        </c:ser>
        <c:ser>
          <c:idx val="32"/>
          <c:order val="19"/>
          <c:tx>
            <c:strRef>
              <c:f>LBC!$W$23</c:f>
              <c:strCache>
                <c:ptCount val="1"/>
              </c:strCache>
            </c:strRef>
          </c:tx>
          <c:spPr>
            <a:ln w="12700" cap="rnd">
              <a:solidFill>
                <a:srgbClr val="00B05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LBC!$BS$5:$BS$37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3-C686-B94C-B302-953B2E05696D}"/>
            </c:ext>
          </c:extLst>
        </c:ser>
        <c:ser>
          <c:idx val="33"/>
          <c:order val="20"/>
          <c:tx>
            <c:strRef>
              <c:f>LBC!$W$24</c:f>
              <c:strCache>
                <c:ptCount val="1"/>
              </c:strCache>
            </c:strRef>
          </c:tx>
          <c:spPr>
            <a:ln w="12700" cap="rnd">
              <a:solidFill>
                <a:srgbClr val="00B050"/>
              </a:solidFill>
              <a:round/>
            </a:ln>
            <a:effectLst/>
          </c:spPr>
          <c:marker>
            <c:symbol val="none"/>
          </c:marker>
          <c:xVal>
            <c:numRef>
              <c:f>LBC!$AY$5:$AY$37</c:f>
              <c:numCache>
                <c:formatCode>0.0</c:formatCode>
                <c:ptCount val="33"/>
                <c:pt idx="0">
                  <c:v>-1</c:v>
                </c:pt>
                <c:pt idx="1">
                  <c:v>-0.5</c:v>
                </c:pt>
                <c:pt idx="2">
                  <c:v>0</c:v>
                </c:pt>
                <c:pt idx="3">
                  <c:v>0.5</c:v>
                </c:pt>
                <c:pt idx="4">
                  <c:v>1</c:v>
                </c:pt>
                <c:pt idx="5">
                  <c:v>1.5</c:v>
                </c:pt>
                <c:pt idx="6">
                  <c:v>2</c:v>
                </c:pt>
                <c:pt idx="7">
                  <c:v>2.5</c:v>
                </c:pt>
                <c:pt idx="8">
                  <c:v>3</c:v>
                </c:pt>
                <c:pt idx="9">
                  <c:v>3.5</c:v>
                </c:pt>
                <c:pt idx="10">
                  <c:v>4</c:v>
                </c:pt>
                <c:pt idx="11">
                  <c:v>4.5</c:v>
                </c:pt>
                <c:pt idx="12">
                  <c:v>5</c:v>
                </c:pt>
                <c:pt idx="13">
                  <c:v>5.5</c:v>
                </c:pt>
                <c:pt idx="14">
                  <c:v>6</c:v>
                </c:pt>
                <c:pt idx="15">
                  <c:v>6.5</c:v>
                </c:pt>
                <c:pt idx="16">
                  <c:v>7</c:v>
                </c:pt>
                <c:pt idx="17">
                  <c:v>7.5</c:v>
                </c:pt>
                <c:pt idx="18">
                  <c:v>8</c:v>
                </c:pt>
                <c:pt idx="19">
                  <c:v>8.5</c:v>
                </c:pt>
                <c:pt idx="20">
                  <c:v>9</c:v>
                </c:pt>
                <c:pt idx="21">
                  <c:v>9.5</c:v>
                </c:pt>
                <c:pt idx="22">
                  <c:v>10</c:v>
                </c:pt>
                <c:pt idx="23">
                  <c:v>10.5</c:v>
                </c:pt>
                <c:pt idx="24">
                  <c:v>11</c:v>
                </c:pt>
                <c:pt idx="25">
                  <c:v>11.5</c:v>
                </c:pt>
                <c:pt idx="26">
                  <c:v>12</c:v>
                </c:pt>
                <c:pt idx="27">
                  <c:v>12.5</c:v>
                </c:pt>
                <c:pt idx="28">
                  <c:v>13</c:v>
                </c:pt>
                <c:pt idx="29">
                  <c:v>13.5</c:v>
                </c:pt>
                <c:pt idx="30">
                  <c:v>14</c:v>
                </c:pt>
                <c:pt idx="31">
                  <c:v>14.5</c:v>
                </c:pt>
                <c:pt idx="32">
                  <c:v>15</c:v>
                </c:pt>
              </c:numCache>
            </c:numRef>
          </c:xVal>
          <c:yVal>
            <c:numRef>
              <c:f>LBC!$BT$5:$BT$37</c:f>
              <c:numCache>
                <c:formatCode>0</c:formatCode>
                <c:ptCount val="33"/>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numCache>
            </c:numRef>
          </c:yVal>
          <c:smooth val="1"/>
          <c:extLst>
            <c:ext xmlns:c16="http://schemas.microsoft.com/office/drawing/2014/chart" uri="{C3380CC4-5D6E-409C-BE32-E72D297353CC}">
              <c16:uniqueId val="{00000014-C686-B94C-B302-953B2E05696D}"/>
            </c:ext>
          </c:extLst>
        </c:ser>
        <c:ser>
          <c:idx val="5"/>
          <c:order val="21"/>
          <c:tx>
            <c:v>"sunset"</c:v>
          </c:tx>
          <c:spPr>
            <a:ln w="12700" cap="rnd">
              <a:solidFill>
                <a:srgbClr val="0070C0"/>
              </a:solidFill>
              <a:prstDash val="dash"/>
              <a:round/>
            </a:ln>
            <a:effectLst/>
          </c:spPr>
          <c:marker>
            <c:symbol val="none"/>
          </c:marker>
          <c:dLbls>
            <c:dLbl>
              <c:idx val="0"/>
              <c:tx>
                <c:rich>
                  <a:bodyPr/>
                  <a:lstStyle/>
                  <a:p>
                    <a:fld id="{DBA14028-1587-8A48-87F8-F5964376931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686-B94C-B302-953B2E05696D}"/>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C686-B94C-B302-953B2E05696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Calcs!$M$38:$M$39</c:f>
              <c:numCache>
                <c:formatCode>0.00</c:formatCode>
                <c:ptCount val="2"/>
                <c:pt idx="0">
                  <c:v>1.2477250083649842</c:v>
                </c:pt>
                <c:pt idx="1">
                  <c:v>1.2477250083649842</c:v>
                </c:pt>
              </c:numCache>
            </c:numRef>
          </c:xVal>
          <c:yVal>
            <c:numRef>
              <c:f>Calcs!$N$38:$N$39</c:f>
              <c:numCache>
                <c:formatCode>General</c:formatCode>
                <c:ptCount val="2"/>
                <c:pt idx="0">
                  <c:v>0</c:v>
                </c:pt>
                <c:pt idx="1">
                  <c:v>90</c:v>
                </c:pt>
              </c:numCache>
            </c:numRef>
          </c:yVal>
          <c:smooth val="1"/>
          <c:extLst>
            <c:ext xmlns:c15="http://schemas.microsoft.com/office/drawing/2012/chart" uri="{02D57815-91ED-43cb-92C2-25804820EDAC}">
              <c15:datalabelsRange>
                <c15:f>Calcs!$O$38</c15:f>
                <c15:dlblRangeCache>
                  <c:ptCount val="1"/>
                  <c:pt idx="0">
                    <c:v>sunset</c:v>
                  </c:pt>
                </c15:dlblRangeCache>
              </c15:datalabelsRange>
            </c:ext>
            <c:ext xmlns:c16="http://schemas.microsoft.com/office/drawing/2014/chart" uri="{C3380CC4-5D6E-409C-BE32-E72D297353CC}">
              <c16:uniqueId val="{00000017-C686-B94C-B302-953B2E05696D}"/>
            </c:ext>
          </c:extLst>
        </c:ser>
        <c:ser>
          <c:idx val="6"/>
          <c:order val="22"/>
          <c:tx>
            <c:v>"30 deg limits"</c:v>
          </c:tx>
          <c:spPr>
            <a:ln w="12700"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Calcs!$N$30:$N$31</c:f>
              <c:numCache>
                <c:formatCode>General</c:formatCode>
                <c:ptCount val="2"/>
                <c:pt idx="0">
                  <c:v>30</c:v>
                </c:pt>
                <c:pt idx="1">
                  <c:v>30</c:v>
                </c:pt>
              </c:numCache>
            </c:numRef>
          </c:yVal>
          <c:smooth val="1"/>
          <c:extLst>
            <c:ext xmlns:c16="http://schemas.microsoft.com/office/drawing/2014/chart" uri="{C3380CC4-5D6E-409C-BE32-E72D297353CC}">
              <c16:uniqueId val="{00000018-C686-B94C-B302-953B2E05696D}"/>
            </c:ext>
          </c:extLst>
        </c:ser>
        <c:ser>
          <c:idx val="7"/>
          <c:order val="23"/>
          <c:tx>
            <c:v>"86 deg limits"</c:v>
          </c:tx>
          <c:spPr>
            <a:ln w="12700" cap="rnd">
              <a:solidFill>
                <a:srgbClr val="FF0000"/>
              </a:solidFill>
              <a:prstDash val="dash"/>
              <a:round/>
            </a:ln>
            <a:effectLst/>
          </c:spPr>
          <c:marker>
            <c:symbol val="none"/>
          </c:marker>
          <c:xVal>
            <c:numRef>
              <c:f>Calcs!$M$30:$M$31</c:f>
              <c:numCache>
                <c:formatCode>General</c:formatCode>
                <c:ptCount val="2"/>
                <c:pt idx="0">
                  <c:v>0</c:v>
                </c:pt>
                <c:pt idx="1">
                  <c:v>360</c:v>
                </c:pt>
              </c:numCache>
            </c:numRef>
          </c:xVal>
          <c:yVal>
            <c:numRef>
              <c:f>Calcs!$O$30:$O$31</c:f>
              <c:numCache>
                <c:formatCode>General</c:formatCode>
                <c:ptCount val="2"/>
                <c:pt idx="0">
                  <c:v>86</c:v>
                </c:pt>
                <c:pt idx="1">
                  <c:v>86</c:v>
                </c:pt>
              </c:numCache>
            </c:numRef>
          </c:yVal>
          <c:smooth val="1"/>
          <c:extLst>
            <c:ext xmlns:c16="http://schemas.microsoft.com/office/drawing/2014/chart" uri="{C3380CC4-5D6E-409C-BE32-E72D297353CC}">
              <c16:uniqueId val="{00000019-C686-B94C-B302-953B2E05696D}"/>
            </c:ext>
          </c:extLst>
        </c:ser>
        <c:ser>
          <c:idx val="8"/>
          <c:order val="24"/>
          <c:tx>
            <c:v>"sunrise"</c:v>
          </c:tx>
          <c:spPr>
            <a:ln w="12700" cap="rnd">
              <a:solidFill>
                <a:schemeClr val="accent4">
                  <a:lumMod val="50000"/>
                </a:schemeClr>
              </a:solidFill>
              <a:prstDash val="dash"/>
              <a:round/>
            </a:ln>
            <a:effectLst/>
          </c:spPr>
          <c:marker>
            <c:symbol val="none"/>
          </c:marker>
          <c:dLbls>
            <c:dLbl>
              <c:idx val="0"/>
              <c:tx>
                <c:rich>
                  <a:bodyPr/>
                  <a:lstStyle/>
                  <a:p>
                    <a:fld id="{5BAFE0BB-4F81-B547-802F-C49C05B6EE8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686-B94C-B302-953B2E05696D}"/>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C686-B94C-B302-953B2E05696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Calcs!$M$40:$M$41</c:f>
              <c:numCache>
                <c:formatCode>0.00</c:formatCode>
                <c:ptCount val="2"/>
                <c:pt idx="0">
                  <c:v>13.82857454377158</c:v>
                </c:pt>
                <c:pt idx="1">
                  <c:v>13.82857454377158</c:v>
                </c:pt>
              </c:numCache>
            </c:numRef>
          </c:xVal>
          <c:yVal>
            <c:numRef>
              <c:f>Calcs!$N$40:$N$41</c:f>
              <c:numCache>
                <c:formatCode>General</c:formatCode>
                <c:ptCount val="2"/>
                <c:pt idx="0">
                  <c:v>0</c:v>
                </c:pt>
                <c:pt idx="1">
                  <c:v>90</c:v>
                </c:pt>
              </c:numCache>
            </c:numRef>
          </c:yVal>
          <c:smooth val="1"/>
          <c:extLst>
            <c:ext xmlns:c15="http://schemas.microsoft.com/office/drawing/2012/chart" uri="{02D57815-91ED-43cb-92C2-25804820EDAC}">
              <c15:datalabelsRange>
                <c15:f>Calcs!$O$40</c15:f>
                <c15:dlblRangeCache>
                  <c:ptCount val="1"/>
                  <c:pt idx="0">
                    <c:v>sunrise</c:v>
                  </c:pt>
                </c15:dlblRangeCache>
              </c15:datalabelsRange>
            </c:ext>
            <c:ext xmlns:c16="http://schemas.microsoft.com/office/drawing/2014/chart" uri="{C3380CC4-5D6E-409C-BE32-E72D297353CC}">
              <c16:uniqueId val="{0000001C-C686-B94C-B302-953B2E05696D}"/>
            </c:ext>
          </c:extLst>
        </c:ser>
        <c:ser>
          <c:idx val="9"/>
          <c:order val="25"/>
          <c:tx>
            <c:v>"midnight"</c:v>
          </c:tx>
          <c:spPr>
            <a:ln w="12700" cap="rnd">
              <a:solidFill>
                <a:srgbClr val="0070C0"/>
              </a:solidFill>
              <a:prstDash val="dash"/>
              <a:round/>
            </a:ln>
            <a:effectLst/>
          </c:spPr>
          <c:marker>
            <c:symbol val="none"/>
          </c:marker>
          <c:dLbls>
            <c:dLbl>
              <c:idx val="0"/>
              <c:tx>
                <c:rich>
                  <a:bodyPr/>
                  <a:lstStyle/>
                  <a:p>
                    <a:fld id="{95BD7D49-BF6A-F54B-93BE-537149F7346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686-B94C-B302-953B2E05696D}"/>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C686-B94C-B302-953B2E05696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Calcs!$M$36:$M$37</c:f>
              <c:numCache>
                <c:formatCode>0.00</c:formatCode>
                <c:ptCount val="2"/>
                <c:pt idx="0">
                  <c:v>7.5381497760682823</c:v>
                </c:pt>
                <c:pt idx="1">
                  <c:v>7.5381497760682823</c:v>
                </c:pt>
              </c:numCache>
            </c:numRef>
          </c:xVal>
          <c:yVal>
            <c:numRef>
              <c:f>Calcs!$N$36:$N$37</c:f>
              <c:numCache>
                <c:formatCode>General</c:formatCode>
                <c:ptCount val="2"/>
                <c:pt idx="0">
                  <c:v>0</c:v>
                </c:pt>
                <c:pt idx="1">
                  <c:v>20</c:v>
                </c:pt>
              </c:numCache>
            </c:numRef>
          </c:yVal>
          <c:smooth val="1"/>
          <c:extLst>
            <c:ext xmlns:c15="http://schemas.microsoft.com/office/drawing/2012/chart" uri="{02D57815-91ED-43cb-92C2-25804820EDAC}">
              <c15:datalabelsRange>
                <c15:f>Calcs!$O$36</c15:f>
                <c15:dlblRangeCache>
                  <c:ptCount val="1"/>
                  <c:pt idx="0">
                    <c:v>midnight</c:v>
                  </c:pt>
                </c15:dlblRangeCache>
              </c15:datalabelsRange>
            </c:ext>
            <c:ext xmlns:c16="http://schemas.microsoft.com/office/drawing/2014/chart" uri="{C3380CC4-5D6E-409C-BE32-E72D297353CC}">
              <c16:uniqueId val="{0000001F-C686-B94C-B302-953B2E05696D}"/>
            </c:ext>
          </c:extLst>
        </c:ser>
        <c:ser>
          <c:idx val="10"/>
          <c:order val="26"/>
          <c:tx>
            <c:v>"18-deg"</c:v>
          </c:tx>
          <c:spPr>
            <a:ln w="12700" cap="rnd">
              <a:solidFill>
                <a:srgbClr val="0070C0"/>
              </a:solidFill>
              <a:prstDash val="dash"/>
              <a:round/>
            </a:ln>
            <a:effectLst/>
          </c:spPr>
          <c:marker>
            <c:symbol val="none"/>
          </c:marker>
          <c:dLbls>
            <c:dLbl>
              <c:idx val="0"/>
              <c:tx>
                <c:rich>
                  <a:bodyPr/>
                  <a:lstStyle/>
                  <a:p>
                    <a:fld id="{FC92EA39-970F-DA4B-AB49-081B4D5D832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C686-B94C-B302-953B2E05696D}"/>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1-C686-B94C-B302-953B2E05696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Calcs!$M$42:$M$43</c:f>
              <c:numCache>
                <c:formatCode>0.00</c:formatCode>
                <c:ptCount val="2"/>
                <c:pt idx="0">
                  <c:v>2.6108095362183414</c:v>
                </c:pt>
                <c:pt idx="1">
                  <c:v>2.6108095362183414</c:v>
                </c:pt>
              </c:numCache>
            </c:numRef>
          </c:xVal>
          <c:yVal>
            <c:numRef>
              <c:f>Calcs!$N$42:$N$43</c:f>
              <c:numCache>
                <c:formatCode>General</c:formatCode>
                <c:ptCount val="2"/>
                <c:pt idx="0">
                  <c:v>0</c:v>
                </c:pt>
                <c:pt idx="1">
                  <c:v>90</c:v>
                </c:pt>
              </c:numCache>
            </c:numRef>
          </c:yVal>
          <c:smooth val="1"/>
          <c:extLst>
            <c:ext xmlns:c15="http://schemas.microsoft.com/office/drawing/2012/chart" uri="{02D57815-91ED-43cb-92C2-25804820EDAC}">
              <c15:datalabelsRange>
                <c15:f>Calcs!$O$42</c15:f>
                <c15:dlblRangeCache>
                  <c:ptCount val="1"/>
                  <c:pt idx="0">
                    <c:v>18</c:v>
                  </c:pt>
                </c15:dlblRangeCache>
              </c15:datalabelsRange>
            </c:ext>
            <c:ext xmlns:c16="http://schemas.microsoft.com/office/drawing/2014/chart" uri="{C3380CC4-5D6E-409C-BE32-E72D297353CC}">
              <c16:uniqueId val="{00000022-C686-B94C-B302-953B2E05696D}"/>
            </c:ext>
          </c:extLst>
        </c:ser>
        <c:ser>
          <c:idx val="11"/>
          <c:order val="27"/>
          <c:tx>
            <c:v>"18-deg"</c:v>
          </c:tx>
          <c:spPr>
            <a:ln w="12700" cap="rnd">
              <a:solidFill>
                <a:srgbClr val="0070C0"/>
              </a:solidFill>
              <a:prstDash val="dash"/>
              <a:round/>
            </a:ln>
            <a:effectLst/>
          </c:spPr>
          <c:marker>
            <c:symbol val="none"/>
          </c:marker>
          <c:dLbls>
            <c:dLbl>
              <c:idx val="0"/>
              <c:tx>
                <c:rich>
                  <a:bodyPr/>
                  <a:lstStyle/>
                  <a:p>
                    <a:fld id="{B618C805-AC1D-244A-90BB-A7AAE8DBDF8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C686-B94C-B302-953B2E05696D}"/>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4-C686-B94C-B302-953B2E05696D}"/>
                </c:ext>
              </c:extLst>
            </c:dLbl>
            <c:spPr>
              <a:solidFill>
                <a:schemeClr val="l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Calcs!$M$44:$M$45</c:f>
              <c:numCache>
                <c:formatCode>0.00</c:formatCode>
                <c:ptCount val="2"/>
                <c:pt idx="0">
                  <c:v>12.465490015918224</c:v>
                </c:pt>
                <c:pt idx="1">
                  <c:v>12.465490015918224</c:v>
                </c:pt>
              </c:numCache>
            </c:numRef>
          </c:xVal>
          <c:yVal>
            <c:numRef>
              <c:f>Calcs!$N$44:$N$45</c:f>
              <c:numCache>
                <c:formatCode>General</c:formatCode>
                <c:ptCount val="2"/>
                <c:pt idx="0">
                  <c:v>0</c:v>
                </c:pt>
                <c:pt idx="1">
                  <c:v>90</c:v>
                </c:pt>
              </c:numCache>
            </c:numRef>
          </c:yVal>
          <c:smooth val="1"/>
          <c:extLst>
            <c:ext xmlns:c15="http://schemas.microsoft.com/office/drawing/2012/chart" uri="{02D57815-91ED-43cb-92C2-25804820EDAC}">
              <c15:datalabelsRange>
                <c15:f>Calcs!$O$42</c15:f>
                <c15:dlblRangeCache>
                  <c:ptCount val="1"/>
                  <c:pt idx="0">
                    <c:v>18</c:v>
                  </c:pt>
                </c15:dlblRangeCache>
              </c15:datalabelsRange>
            </c:ext>
            <c:ext xmlns:c16="http://schemas.microsoft.com/office/drawing/2014/chart" uri="{C3380CC4-5D6E-409C-BE32-E72D297353CC}">
              <c16:uniqueId val="{00000025-C686-B94C-B302-953B2E05696D}"/>
            </c:ext>
          </c:extLst>
        </c:ser>
        <c:ser>
          <c:idx val="12"/>
          <c:order val="28"/>
          <c:tx>
            <c:v>"12-deg"</c:v>
          </c:tx>
          <c:spPr>
            <a:ln w="12700" cap="rnd">
              <a:solidFill>
                <a:srgbClr val="0070C0"/>
              </a:solidFill>
              <a:prstDash val="dash"/>
              <a:round/>
            </a:ln>
            <a:effectLst/>
          </c:spPr>
          <c:marker>
            <c:symbol val="none"/>
          </c:marker>
          <c:dLbls>
            <c:dLbl>
              <c:idx val="0"/>
              <c:tx>
                <c:rich>
                  <a:bodyPr/>
                  <a:lstStyle/>
                  <a:p>
                    <a:fld id="{FF5D7EEE-3F8B-C445-A6F9-2A299707ADF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C686-B94C-B302-953B2E05696D}"/>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7-C686-B94C-B302-953B2E05696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Calcs!$M$46:$M$47</c:f>
              <c:numCache>
                <c:formatCode>0.00</c:formatCode>
                <c:ptCount val="2"/>
                <c:pt idx="0">
                  <c:v>2.135375871853185</c:v>
                </c:pt>
                <c:pt idx="1">
                  <c:v>2.135375871853185</c:v>
                </c:pt>
              </c:numCache>
            </c:numRef>
          </c:xVal>
          <c:yVal>
            <c:numRef>
              <c:f>Calcs!$N$46:$N$47</c:f>
              <c:numCache>
                <c:formatCode>General</c:formatCode>
                <c:ptCount val="2"/>
                <c:pt idx="0">
                  <c:v>0</c:v>
                </c:pt>
                <c:pt idx="1">
                  <c:v>90</c:v>
                </c:pt>
              </c:numCache>
            </c:numRef>
          </c:yVal>
          <c:smooth val="1"/>
          <c:extLst>
            <c:ext xmlns:c15="http://schemas.microsoft.com/office/drawing/2012/chart" uri="{02D57815-91ED-43cb-92C2-25804820EDAC}">
              <c15:datalabelsRange>
                <c15:f>Calcs!$O$46</c15:f>
                <c15:dlblRangeCache>
                  <c:ptCount val="1"/>
                  <c:pt idx="0">
                    <c:v>12</c:v>
                  </c:pt>
                </c15:dlblRangeCache>
              </c15:datalabelsRange>
            </c:ext>
            <c:ext xmlns:c16="http://schemas.microsoft.com/office/drawing/2014/chart" uri="{C3380CC4-5D6E-409C-BE32-E72D297353CC}">
              <c16:uniqueId val="{00000028-C686-B94C-B302-953B2E05696D}"/>
            </c:ext>
          </c:extLst>
        </c:ser>
        <c:ser>
          <c:idx val="13"/>
          <c:order val="29"/>
          <c:tx>
            <c:v>"12-deg"</c:v>
          </c:tx>
          <c:spPr>
            <a:ln w="19050" cap="rnd">
              <a:solidFill>
                <a:schemeClr val="accent2">
                  <a:lumMod val="80000"/>
                  <a:lumOff val="20000"/>
                </a:schemeClr>
              </a:solidFill>
              <a:round/>
            </a:ln>
            <a:effectLst/>
          </c:spPr>
          <c:marker>
            <c:symbol val="none"/>
          </c:marker>
          <c:dPt>
            <c:idx val="1"/>
            <c:bubble3D val="0"/>
            <c:spPr>
              <a:ln w="12700" cap="rnd">
                <a:solidFill>
                  <a:srgbClr val="0070C0"/>
                </a:solidFill>
                <a:prstDash val="dash"/>
                <a:round/>
              </a:ln>
              <a:effectLst/>
            </c:spPr>
            <c:extLst>
              <c:ext xmlns:c16="http://schemas.microsoft.com/office/drawing/2014/chart" uri="{C3380CC4-5D6E-409C-BE32-E72D297353CC}">
                <c16:uniqueId val="{0000002A-C686-B94C-B302-953B2E05696D}"/>
              </c:ext>
            </c:extLst>
          </c:dPt>
          <c:dLbls>
            <c:dLbl>
              <c:idx val="0"/>
              <c:tx>
                <c:rich>
                  <a:bodyPr/>
                  <a:lstStyle/>
                  <a:p>
                    <a:fld id="{F4331C28-44CF-5A4B-903B-46425284FAD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C686-B94C-B302-953B2E05696D}"/>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A-C686-B94C-B302-953B2E05696D}"/>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6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Calcs!$M$48:$M$49</c:f>
              <c:numCache>
                <c:formatCode>0.00</c:formatCode>
                <c:ptCount val="2"/>
                <c:pt idx="0">
                  <c:v>12.94092368028338</c:v>
                </c:pt>
                <c:pt idx="1">
                  <c:v>12.94092368028338</c:v>
                </c:pt>
              </c:numCache>
            </c:numRef>
          </c:xVal>
          <c:yVal>
            <c:numRef>
              <c:f>Calcs!$N$48:$N$49</c:f>
              <c:numCache>
                <c:formatCode>General</c:formatCode>
                <c:ptCount val="2"/>
                <c:pt idx="0">
                  <c:v>0</c:v>
                </c:pt>
                <c:pt idx="1">
                  <c:v>90</c:v>
                </c:pt>
              </c:numCache>
            </c:numRef>
          </c:yVal>
          <c:smooth val="1"/>
          <c:extLst>
            <c:ext xmlns:c15="http://schemas.microsoft.com/office/drawing/2012/chart" uri="{02D57815-91ED-43cb-92C2-25804820EDAC}">
              <c15:datalabelsRange>
                <c15:f>Calcs!$O$46</c15:f>
                <c15:dlblRangeCache>
                  <c:ptCount val="1"/>
                  <c:pt idx="0">
                    <c:v>12</c:v>
                  </c:pt>
                </c15:dlblRangeCache>
              </c15:datalabelsRange>
            </c:ext>
            <c:ext xmlns:c16="http://schemas.microsoft.com/office/drawing/2014/chart" uri="{C3380CC4-5D6E-409C-BE32-E72D297353CC}">
              <c16:uniqueId val="{0000002C-C686-B94C-B302-953B2E05696D}"/>
            </c:ext>
          </c:extLst>
        </c:ser>
        <c:ser>
          <c:idx val="15"/>
          <c:order val="30"/>
          <c:tx>
            <c:v>"Exposure"</c:v>
          </c:tx>
          <c:spPr>
            <a:ln w="19050" cap="rnd">
              <a:noFill/>
              <a:round/>
            </a:ln>
            <a:effectLst/>
          </c:spPr>
          <c:marker>
            <c:symbol val="none"/>
          </c:marker>
          <c:dLbls>
            <c:dLbl>
              <c:idx val="0"/>
              <c:tx>
                <c:rich>
                  <a:bodyPr/>
                  <a:lstStyle/>
                  <a:p>
                    <a:fld id="{CF4B19D2-093C-824E-98C0-29F7B73E315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C686-B94C-B302-953B2E05696D}"/>
                </c:ext>
              </c:extLst>
            </c:dLbl>
            <c:dLbl>
              <c:idx val="1"/>
              <c:tx>
                <c:rich>
                  <a:bodyPr/>
                  <a:lstStyle/>
                  <a:p>
                    <a:fld id="{C3C27870-B015-934D-90E2-223530A93BF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C686-B94C-B302-953B2E05696D}"/>
                </c:ext>
              </c:extLst>
            </c:dLbl>
            <c:dLbl>
              <c:idx val="2"/>
              <c:tx>
                <c:rich>
                  <a:bodyPr/>
                  <a:lstStyle/>
                  <a:p>
                    <a:fld id="{C51DA79F-5130-6941-BEC9-C231548E3DC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C686-B94C-B302-953B2E05696D}"/>
                </c:ext>
              </c:extLst>
            </c:dLbl>
            <c:dLbl>
              <c:idx val="3"/>
              <c:tx>
                <c:rich>
                  <a:bodyPr/>
                  <a:lstStyle/>
                  <a:p>
                    <a:fld id="{0B1B455C-6A58-D94A-8EFD-8BC545DD7A7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C686-B94C-B302-953B2E05696D}"/>
                </c:ext>
              </c:extLst>
            </c:dLbl>
            <c:dLbl>
              <c:idx val="4"/>
              <c:tx>
                <c:rich>
                  <a:bodyPr/>
                  <a:lstStyle/>
                  <a:p>
                    <a:fld id="{0FB7D59A-A3CA-2542-A06E-5B916CED813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C686-B94C-B302-953B2E05696D}"/>
                </c:ext>
              </c:extLst>
            </c:dLbl>
            <c:dLbl>
              <c:idx val="5"/>
              <c:tx>
                <c:rich>
                  <a:bodyPr/>
                  <a:lstStyle/>
                  <a:p>
                    <a:fld id="{98935714-99C2-5F4A-A88E-1389D33651E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C686-B94C-B302-953B2E05696D}"/>
                </c:ext>
              </c:extLst>
            </c:dLbl>
            <c:dLbl>
              <c:idx val="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3-C686-B94C-B302-953B2E05696D}"/>
                </c:ext>
              </c:extLst>
            </c:dLbl>
            <c:dLbl>
              <c:idx val="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4-C686-B94C-B302-953B2E05696D}"/>
                </c:ext>
              </c:extLst>
            </c:dLbl>
            <c:dLbl>
              <c:idx val="8"/>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5-C686-B94C-B302-953B2E05696D}"/>
                </c:ext>
              </c:extLst>
            </c:dLbl>
            <c:dLbl>
              <c:idx val="9"/>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6-C686-B94C-B302-953B2E05696D}"/>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7-C686-B94C-B302-953B2E05696D}"/>
                </c:ext>
              </c:extLst>
            </c:dLbl>
            <c:dLbl>
              <c:idx val="11"/>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8-C686-B94C-B302-953B2E05696D}"/>
                </c:ext>
              </c:extLst>
            </c:dLbl>
            <c:dLbl>
              <c:idx val="12"/>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C686-B94C-B302-953B2E05696D}"/>
                </c:ext>
              </c:extLst>
            </c:dLbl>
            <c:dLbl>
              <c:idx val="13"/>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C686-B94C-B302-953B2E05696D}"/>
                </c:ext>
              </c:extLst>
            </c:dLbl>
            <c:dLbl>
              <c:idx val="14"/>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C686-B94C-B302-953B2E05696D}"/>
                </c:ext>
              </c:extLst>
            </c:dLbl>
            <c:dLbl>
              <c:idx val="15"/>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C686-B94C-B302-953B2E05696D}"/>
                </c:ext>
              </c:extLst>
            </c:dLbl>
            <c:dLbl>
              <c:idx val="1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D-C686-B94C-B302-953B2E05696D}"/>
                </c:ext>
              </c:extLst>
            </c:dLbl>
            <c:dLbl>
              <c:idx val="1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E-C686-B94C-B302-953B2E05696D}"/>
                </c:ext>
              </c:extLst>
            </c:dLbl>
            <c:dLbl>
              <c:idx val="18"/>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F-C686-B94C-B302-953B2E05696D}"/>
                </c:ext>
              </c:extLst>
            </c:dLbl>
            <c:dLbl>
              <c:idx val="19"/>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0-C686-B94C-B302-953B2E05696D}"/>
                </c:ext>
              </c:extLst>
            </c:dLbl>
            <c:spPr>
              <a:solidFill>
                <a:schemeClr val="lt1"/>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LBC!$AP$5:$AP$24</c:f>
              <c:numCache>
                <c:formatCode>0.0</c:formatCode>
                <c:ptCount val="20"/>
                <c:pt idx="0">
                  <c:v>10.937171279086328</c:v>
                </c:pt>
                <c:pt idx="1">
                  <c:v>9.7871712790863281</c:v>
                </c:pt>
                <c:pt idx="2">
                  <c:v>9.120504612419662</c:v>
                </c:pt>
                <c:pt idx="3">
                  <c:v>9.3205046124196596</c:v>
                </c:pt>
                <c:pt idx="4">
                  <c:v>9.5205046124196624</c:v>
                </c:pt>
                <c:pt idx="5">
                  <c:v>11.670504612419661</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xVal>
          <c:yVal>
            <c:numRef>
              <c:f>LBC!$AQ$5:$AQ$24</c:f>
              <c:numCache>
                <c:formatCode>0</c:formatCode>
                <c:ptCount val="20"/>
                <c:pt idx="0">
                  <c:v>69.05</c:v>
                </c:pt>
                <c:pt idx="1">
                  <c:v>78.98333333333332</c:v>
                </c:pt>
                <c:pt idx="2">
                  <c:v>53.25</c:v>
                </c:pt>
                <c:pt idx="3">
                  <c:v>78.616666666666674</c:v>
                </c:pt>
                <c:pt idx="4">
                  <c:v>61.1</c:v>
                </c:pt>
                <c:pt idx="5">
                  <c:v>47.133333333333333</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1"/>
          <c:extLst>
            <c:ext xmlns:c15="http://schemas.microsoft.com/office/drawing/2012/chart" uri="{02D57815-91ED-43cb-92C2-25804820EDAC}">
              <c15:datalabelsRange>
                <c15:f>LBC!$AC$5:$AC$24</c15:f>
                <c15:dlblRangeCache>
                  <c:ptCount val="20"/>
                  <c:pt idx="0">
                    <c:v>0.66</c:v>
                  </c:pt>
                  <c:pt idx="1">
                    <c:v>0.70</c:v>
                  </c:pt>
                  <c:pt idx="2">
                    <c:v>0.27</c:v>
                  </c:pt>
                  <c:pt idx="3">
                    <c:v>0.27</c:v>
                  </c:pt>
                  <c:pt idx="4">
                    <c:v>0.32</c:v>
                  </c:pt>
                  <c:pt idx="5">
                    <c:v>0.84</c:v>
                  </c:pt>
                </c15:dlblRangeCache>
              </c15:datalabelsRange>
            </c:ext>
            <c:ext xmlns:c16="http://schemas.microsoft.com/office/drawing/2014/chart" uri="{C3380CC4-5D6E-409C-BE32-E72D297353CC}">
              <c16:uniqueId val="{00000042-C686-B94C-B302-953B2E05696D}"/>
            </c:ext>
          </c:extLst>
        </c:ser>
        <c:ser>
          <c:idx val="36"/>
          <c:order val="31"/>
          <c:tx>
            <c:v>Partners</c:v>
          </c:tx>
          <c:spPr>
            <a:ln>
              <a:noFill/>
            </a:ln>
          </c:spPr>
          <c:marker>
            <c:symbol val="none"/>
          </c:marker>
          <c:dLbls>
            <c:dLbl>
              <c:idx val="0"/>
              <c:tx>
                <c:rich>
                  <a:bodyPr/>
                  <a:lstStyle/>
                  <a:p>
                    <a:fld id="{7362D879-3F31-1E4D-849D-AB156BED799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32F-BE48-AB9F-8E90AA340932}"/>
                </c:ext>
              </c:extLst>
            </c:dLbl>
            <c:dLbl>
              <c:idx val="1"/>
              <c:tx>
                <c:rich>
                  <a:bodyPr/>
                  <a:lstStyle/>
                  <a:p>
                    <a:fld id="{1CB6A839-A04F-C647-93BF-CB89E40878C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32F-BE48-AB9F-8E90AA340932}"/>
                </c:ext>
              </c:extLst>
            </c:dLbl>
            <c:dLbl>
              <c:idx val="2"/>
              <c:tx>
                <c:rich>
                  <a:bodyPr/>
                  <a:lstStyle/>
                  <a:p>
                    <a:fld id="{63D73AE5-5F90-4E41-BD3E-01286024A79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32F-BE48-AB9F-8E90AA340932}"/>
                </c:ext>
              </c:extLst>
            </c:dLbl>
            <c:dLbl>
              <c:idx val="3"/>
              <c:tx>
                <c:rich>
                  <a:bodyPr/>
                  <a:lstStyle/>
                  <a:p>
                    <a:fld id="{5C2926CB-4BF6-2542-9660-98F505781A6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32F-BE48-AB9F-8E90AA340932}"/>
                </c:ext>
              </c:extLst>
            </c:dLbl>
            <c:dLbl>
              <c:idx val="4"/>
              <c:tx>
                <c:rich>
                  <a:bodyPr/>
                  <a:lstStyle/>
                  <a:p>
                    <a:fld id="{53B37AA9-DEB7-ED4C-AA1A-A51F1E18C57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32F-BE48-AB9F-8E90AA340932}"/>
                </c:ext>
              </c:extLst>
            </c:dLbl>
            <c:dLbl>
              <c:idx val="5"/>
              <c:tx>
                <c:rich>
                  <a:bodyPr/>
                  <a:lstStyle/>
                  <a:p>
                    <a:fld id="{F116DA00-ACBB-4149-9A17-A9626A9C91A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32F-BE48-AB9F-8E90AA340932}"/>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332F-BE48-AB9F-8E90AA340932}"/>
                </c:ext>
              </c:extLst>
            </c:dLbl>
            <c:dLbl>
              <c:idx val="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332F-BE48-AB9F-8E90AA340932}"/>
                </c:ext>
              </c:extLst>
            </c:dLbl>
            <c:dLbl>
              <c:idx val="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332F-BE48-AB9F-8E90AA340932}"/>
                </c:ext>
              </c:extLst>
            </c:dLbl>
            <c:dLbl>
              <c:idx val="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332F-BE48-AB9F-8E90AA340932}"/>
                </c:ext>
              </c:extLst>
            </c:dLbl>
            <c:dLbl>
              <c:idx val="10"/>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332F-BE48-AB9F-8E90AA340932}"/>
                </c:ext>
              </c:extLst>
            </c:dLbl>
            <c:dLbl>
              <c:idx val="1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332F-BE48-AB9F-8E90AA340932}"/>
                </c:ext>
              </c:extLst>
            </c:dLbl>
            <c:dLbl>
              <c:idx val="12"/>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332F-BE48-AB9F-8E90AA340932}"/>
                </c:ext>
              </c:extLst>
            </c:dLbl>
            <c:dLbl>
              <c:idx val="1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332F-BE48-AB9F-8E90AA340932}"/>
                </c:ext>
              </c:extLst>
            </c:dLbl>
            <c:dLbl>
              <c:idx val="14"/>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332F-BE48-AB9F-8E90AA340932}"/>
                </c:ext>
              </c:extLst>
            </c:dLbl>
            <c:dLbl>
              <c:idx val="15"/>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332F-BE48-AB9F-8E90AA340932}"/>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332F-BE48-AB9F-8E90AA340932}"/>
                </c:ext>
              </c:extLst>
            </c:dLbl>
            <c:dLbl>
              <c:idx val="17"/>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332F-BE48-AB9F-8E90AA340932}"/>
                </c:ext>
              </c:extLst>
            </c:dLbl>
            <c:dLbl>
              <c:idx val="18"/>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332F-BE48-AB9F-8E90AA340932}"/>
                </c:ext>
              </c:extLst>
            </c:dLbl>
            <c:dLbl>
              <c:idx val="19"/>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332F-BE48-AB9F-8E90AA340932}"/>
                </c:ext>
              </c:extLst>
            </c:dLbl>
            <c:spPr>
              <a:solidFill>
                <a:schemeClr val="lt1"/>
              </a:solidFill>
              <a:ln>
                <a:noFill/>
              </a:ln>
              <a:effectLst/>
            </c:spPr>
            <c:txPr>
              <a:bodyPr rot="-5400000" vert="horz" wrap="square" lIns="38100" tIns="19050" rIns="38100" bIns="19050" anchor="ctr">
                <a:spAutoFit/>
              </a:bodyPr>
              <a:lstStyle/>
              <a:p>
                <a:pPr>
                  <a:defRPr sz="800" b="1"/>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LBC!$AP$5:$AP$24</c:f>
              <c:numCache>
                <c:formatCode>0.0</c:formatCode>
                <c:ptCount val="20"/>
                <c:pt idx="0">
                  <c:v>10.937171279086328</c:v>
                </c:pt>
                <c:pt idx="1">
                  <c:v>9.7871712790863281</c:v>
                </c:pt>
                <c:pt idx="2">
                  <c:v>9.120504612419662</c:v>
                </c:pt>
                <c:pt idx="3">
                  <c:v>9.3205046124196596</c:v>
                </c:pt>
                <c:pt idx="4">
                  <c:v>9.5205046124196624</c:v>
                </c:pt>
                <c:pt idx="5">
                  <c:v>11.670504612419661</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xVal>
          <c:yVal>
            <c:numRef>
              <c:f>LBC!$AQ$5:$AQ$24</c:f>
              <c:numCache>
                <c:formatCode>0</c:formatCode>
                <c:ptCount val="20"/>
                <c:pt idx="0">
                  <c:v>69.05</c:v>
                </c:pt>
                <c:pt idx="1">
                  <c:v>78.98333333333332</c:v>
                </c:pt>
                <c:pt idx="2">
                  <c:v>53.25</c:v>
                </c:pt>
                <c:pt idx="3">
                  <c:v>78.616666666666674</c:v>
                </c:pt>
                <c:pt idx="4">
                  <c:v>61.1</c:v>
                </c:pt>
                <c:pt idx="5">
                  <c:v>47.133333333333333</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numCache>
            </c:numRef>
          </c:yVal>
          <c:smooth val="1"/>
          <c:extLst>
            <c:ext xmlns:c15="http://schemas.microsoft.com/office/drawing/2012/chart" uri="{02D57815-91ED-43cb-92C2-25804820EDAC}">
              <c15:datalabelsRange>
                <c15:f>LBC!$X$5:$X$24</c15:f>
                <c15:dlblRangeCache>
                  <c:ptCount val="20"/>
                  <c:pt idx="0">
                    <c:v>OSU</c:v>
                  </c:pt>
                  <c:pt idx="1">
                    <c:v>OSU</c:v>
                  </c:pt>
                  <c:pt idx="2">
                    <c:v>OSU</c:v>
                  </c:pt>
                  <c:pt idx="3">
                    <c:v>OSU</c:v>
                  </c:pt>
                  <c:pt idx="4">
                    <c:v>OSU</c:v>
                  </c:pt>
                  <c:pt idx="5">
                    <c:v>ND</c:v>
                  </c:pt>
                </c15:dlblRangeCache>
              </c15:datalabelsRange>
            </c:ext>
            <c:ext xmlns:c16="http://schemas.microsoft.com/office/drawing/2014/chart" uri="{C3380CC4-5D6E-409C-BE32-E72D297353CC}">
              <c16:uniqueId val="{00000002-332F-BE48-AB9F-8E90AA340932}"/>
            </c:ext>
          </c:extLst>
        </c:ser>
        <c:ser>
          <c:idx val="14"/>
          <c:order val="32"/>
          <c:tx>
            <c:v>"Labels"</c:v>
          </c:tx>
          <c:spPr>
            <a:ln w="19050" cap="rnd">
              <a:noFill/>
              <a:round/>
            </a:ln>
            <a:effectLst/>
          </c:spPr>
          <c:marker>
            <c:symbol val="none"/>
          </c:marker>
          <c:dLbls>
            <c:dLbl>
              <c:idx val="0"/>
              <c:tx>
                <c:rich>
                  <a:bodyPr rot="-5400000" spcFirstLastPara="1" vertOverflow="ellipsis" wrap="square" lIns="36576" tIns="19050" rIns="38100" bIns="19050" anchor="ctr" anchorCtr="1">
                    <a:spAutoFit/>
                  </a:bodyPr>
                  <a:lstStyle/>
                  <a:p>
                    <a:pPr>
                      <a:defRPr sz="900" b="1" i="0" u="none" strike="noStrike" kern="1200" baseline="0">
                        <a:solidFill>
                          <a:schemeClr val="tx1"/>
                        </a:solidFill>
                        <a:latin typeface="+mn-lt"/>
                        <a:ea typeface="+mn-ea"/>
                        <a:cs typeface="+mn-cs"/>
                      </a:defRPr>
                    </a:pPr>
                    <a:fld id="{CB758A9E-F8AF-D949-BFE3-BF1D1498503C}" type="CELLRANGE">
                      <a:rPr lang="en-US"/>
                      <a:pPr>
                        <a:defRPr sz="900" b="1" i="0" u="none" strike="noStrike" kern="1200" baseline="0">
                          <a:solidFill>
                            <a:schemeClr val="tx1"/>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3-C686-B94C-B302-953B2E05696D}"/>
                </c:ext>
              </c:extLst>
            </c:dLbl>
            <c:dLbl>
              <c:idx val="1"/>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7A933352-42A4-6042-8223-A9862DCF4B4A}"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4-C686-B94C-B302-953B2E05696D}"/>
                </c:ext>
              </c:extLst>
            </c:dLbl>
            <c:dLbl>
              <c:idx val="2"/>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F62B4E0F-8181-474C-AB63-1F612F297D21}"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5-C686-B94C-B302-953B2E05696D}"/>
                </c:ext>
              </c:extLst>
            </c:dLbl>
            <c:dLbl>
              <c:idx val="3"/>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D530C743-C732-424A-9586-A6C27D63B557}"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6-C686-B94C-B302-953B2E05696D}"/>
                </c:ext>
              </c:extLst>
            </c:dLbl>
            <c:dLbl>
              <c:idx val="4"/>
              <c:tx>
                <c:rich>
                  <a:bodyPr rot="-5400000" spcFirstLastPara="1" vertOverflow="ellipsis" wrap="square" lIns="36576" tIns="19050" rIns="38100" bIns="19050" anchor="ctr" anchorCtr="1">
                    <a:spAutoFit/>
                  </a:bodyPr>
                  <a:lstStyle/>
                  <a:p>
                    <a:pPr>
                      <a:defRPr sz="900" b="1" i="0" u="none" strike="noStrike" kern="1200" baseline="0">
                        <a:solidFill>
                          <a:srgbClr val="0070C0"/>
                        </a:solidFill>
                        <a:latin typeface="+mn-lt"/>
                        <a:ea typeface="+mn-ea"/>
                        <a:cs typeface="+mn-cs"/>
                      </a:defRPr>
                    </a:pPr>
                    <a:fld id="{FDEB7E09-9144-B24E-AE7D-927ACEA3FACE}" type="CELLRANGE">
                      <a:rPr lang="en-US"/>
                      <a:pPr>
                        <a:defRPr sz="900" b="1" i="0" u="none" strike="noStrike" kern="1200" baseline="0">
                          <a:solidFill>
                            <a:srgbClr val="0070C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7-C686-B94C-B302-953B2E05696D}"/>
                </c:ext>
              </c:extLst>
            </c:dLbl>
            <c:dLbl>
              <c:idx val="5"/>
              <c:tx>
                <c:rich>
                  <a:bodyPr rot="-5400000" spcFirstLastPara="1" vertOverflow="ellipsis" wrap="square" lIns="36576" tIns="19050" rIns="38100" bIns="19050" anchor="ctr" anchorCtr="1">
                    <a:spAutoFit/>
                  </a:bodyPr>
                  <a:lstStyle/>
                  <a:p>
                    <a:pPr>
                      <a:defRPr sz="900" b="1" i="0" u="none" strike="noStrike" kern="1200" baseline="0">
                        <a:solidFill>
                          <a:srgbClr val="0070C0"/>
                        </a:solidFill>
                        <a:latin typeface="+mn-lt"/>
                        <a:ea typeface="+mn-ea"/>
                        <a:cs typeface="+mn-cs"/>
                      </a:defRPr>
                    </a:pPr>
                    <a:fld id="{4801E2C5-4651-5D4D-B4C2-E8C1E21FC985}" type="CELLRANGE">
                      <a:rPr lang="en-US"/>
                      <a:pPr>
                        <a:defRPr sz="900" b="1" i="0" u="none" strike="noStrike" kern="1200" baseline="0">
                          <a:solidFill>
                            <a:srgbClr val="0070C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8-C686-B94C-B302-953B2E05696D}"/>
                </c:ext>
              </c:extLst>
            </c:dLbl>
            <c:dLbl>
              <c:idx val="6"/>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fld id="{2376A4A1-1208-8E4B-9E32-7CCA93E219DA}" type="CELLRANGE">
                      <a:rPr lang="en-US"/>
                      <a:pPr>
                        <a:defRPr sz="900" b="1" i="0" u="none" strike="noStrike" kern="1200" baseline="0">
                          <a:solidFill>
                            <a:srgbClr val="FF0000"/>
                          </a:solidFill>
                          <a:latin typeface="+mn-lt"/>
                          <a:ea typeface="+mn-ea"/>
                          <a:cs typeface="+mn-cs"/>
                        </a:defRPr>
                      </a:pPr>
                      <a:t>[CELLRANGE]</a:t>
                    </a:fld>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49-C686-B94C-B302-953B2E05696D}"/>
                </c:ext>
              </c:extLst>
            </c:dLbl>
            <c:dLbl>
              <c:idx val="7"/>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A-C686-B94C-B302-953B2E05696D}"/>
                </c:ext>
              </c:extLst>
            </c:dLbl>
            <c:dLbl>
              <c:idx val="8"/>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4B-C686-B94C-B302-953B2E05696D}"/>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C-C686-B94C-B302-953B2E05696D}"/>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D-C686-B94C-B302-953B2E05696D}"/>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E-C686-B94C-B302-953B2E05696D}"/>
                </c:ext>
              </c:extLst>
            </c:dLbl>
            <c:dLbl>
              <c:idx val="1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4F-C686-B94C-B302-953B2E05696D}"/>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0-C686-B94C-B302-953B2E05696D}"/>
                </c:ext>
              </c:extLst>
            </c:dLbl>
            <c:dLbl>
              <c:idx val="14"/>
              <c:tx>
                <c:rich>
                  <a:bodyPr rot="-5400000" spcFirstLastPara="1" vertOverflow="ellipsis" wrap="square" lIns="36576"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51-C686-B94C-B302-953B2E05696D}"/>
                </c:ext>
              </c:extLst>
            </c:dLbl>
            <c:dLbl>
              <c:idx val="15"/>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52-C686-B94C-B302-953B2E05696D}"/>
                </c:ext>
              </c:extLst>
            </c:dLbl>
            <c:dLbl>
              <c:idx val="16"/>
              <c:tx>
                <c:rich>
                  <a:bodyPr rot="-5400000" spcFirstLastPara="1" vertOverflow="ellipsis" wrap="square" lIns="36576"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53-C686-B94C-B302-953B2E05696D}"/>
                </c:ext>
              </c:extLst>
            </c:dLbl>
            <c:dLbl>
              <c:idx val="1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4-C686-B94C-B302-953B2E05696D}"/>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55-C686-B94C-B302-953B2E05696D}"/>
                </c:ext>
              </c:extLst>
            </c:dLbl>
            <c:dLbl>
              <c:idx val="19"/>
              <c:tx>
                <c:rich>
                  <a:bodyPr rot="-5400000" spcFirstLastPara="1" vertOverflow="ellipsis" wrap="square" lIns="36576"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56-C686-B94C-B302-953B2E05696D}"/>
                </c:ext>
              </c:extLst>
            </c:dLbl>
            <c:dLbl>
              <c:idx val="20"/>
              <c:tx>
                <c:rich>
                  <a:bodyPr rot="-5400000" spcFirstLastPara="1" vertOverflow="ellipsis" wrap="square" lIns="36576"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rich>
              </c:tx>
              <c:spPr>
                <a:solidFill>
                  <a:schemeClr val="lt1"/>
                </a:solidFill>
                <a:ln>
                  <a:noFill/>
                </a:ln>
                <a:effectLst/>
              </c:sp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xForSave val="1"/>
                  <c15:showDataLabelsRange val="1"/>
                </c:ext>
                <c:ext xmlns:c16="http://schemas.microsoft.com/office/drawing/2014/chart" uri="{C3380CC4-5D6E-409C-BE32-E72D297353CC}">
                  <c16:uniqueId val="{00000057-C686-B94C-B302-953B2E05696D}"/>
                </c:ext>
              </c:extLst>
            </c:dLbl>
            <c:spPr>
              <a:solidFill>
                <a:schemeClr val="lt1"/>
              </a:solidFill>
              <a:ln>
                <a:noFill/>
              </a:ln>
              <a:effectLst/>
            </c:spPr>
            <c:txPr>
              <a:bodyPr rot="-5400000" spcFirstLastPara="1" vertOverflow="ellipsis" wrap="square" lIns="36576"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xVal>
            <c:numRef>
              <c:f>LBC!$AP$4:$AP$24</c:f>
              <c:numCache>
                <c:formatCode>0.0</c:formatCode>
                <c:ptCount val="21"/>
                <c:pt idx="0">
                  <c:v>18.988156148967683</c:v>
                </c:pt>
                <c:pt idx="1">
                  <c:v>10.937171279086328</c:v>
                </c:pt>
                <c:pt idx="2">
                  <c:v>9.7871712790863281</c:v>
                </c:pt>
                <c:pt idx="3">
                  <c:v>9.120504612419662</c:v>
                </c:pt>
                <c:pt idx="4">
                  <c:v>9.3205046124196596</c:v>
                </c:pt>
                <c:pt idx="5">
                  <c:v>9.5205046124196624</c:v>
                </c:pt>
                <c:pt idx="6">
                  <c:v>11.670504612419661</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xVal>
          <c:yVal>
            <c:numRef>
              <c:f>LBC!$AQ$4:$AQ$24</c:f>
              <c:numCache>
                <c:formatCode>0</c:formatCode>
                <c:ptCount val="21"/>
                <c:pt idx="0">
                  <c:v>43.105636220368886</c:v>
                </c:pt>
                <c:pt idx="1">
                  <c:v>69.05</c:v>
                </c:pt>
                <c:pt idx="2">
                  <c:v>78.98333333333332</c:v>
                </c:pt>
                <c:pt idx="3">
                  <c:v>53.25</c:v>
                </c:pt>
                <c:pt idx="4">
                  <c:v>78.616666666666674</c:v>
                </c:pt>
                <c:pt idx="5">
                  <c:v>61.1</c:v>
                </c:pt>
                <c:pt idx="6">
                  <c:v>47.133333333333333</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1"/>
          <c:extLst>
            <c:ext xmlns:c15="http://schemas.microsoft.com/office/drawing/2012/chart" uri="{02D57815-91ED-43cb-92C2-25804820EDAC}">
              <c15:datalabelsRange>
                <c15:f>LBC!$W$4:$W$24</c15:f>
                <c15:dlblRangeCache>
                  <c:ptCount val="21"/>
                  <c:pt idx="0">
                    <c:v>Moon</c:v>
                  </c:pt>
                  <c:pt idx="1">
                    <c:v>N5474</c:v>
                  </c:pt>
                  <c:pt idx="2">
                    <c:v>N4826</c:v>
                  </c:pt>
                  <c:pt idx="3">
                    <c:v>N4236</c:v>
                  </c:pt>
                  <c:pt idx="4">
                    <c:v>N4449</c:v>
                  </c:pt>
                  <c:pt idx="5">
                    <c:v>N4605</c:v>
                  </c:pt>
                  <c:pt idx="6">
                    <c:v>SN95n</c:v>
                  </c:pt>
                </c15:dlblRangeCache>
              </c15:datalabelsRange>
            </c:ext>
            <c:ext xmlns:c16="http://schemas.microsoft.com/office/drawing/2014/chart" uri="{C3380CC4-5D6E-409C-BE32-E72D297353CC}">
              <c16:uniqueId val="{00000058-C686-B94C-B302-953B2E05696D}"/>
            </c:ext>
          </c:extLst>
        </c:ser>
        <c:ser>
          <c:idx val="16"/>
          <c:order val="33"/>
          <c:tx>
            <c:v>"Instrument"</c:v>
          </c:tx>
          <c:spPr>
            <a:ln w="19050" cap="rnd">
              <a:solidFill>
                <a:schemeClr val="accent5">
                  <a:lumMod val="80000"/>
                  <a:lumOff val="20000"/>
                </a:schemeClr>
              </a:solidFill>
              <a:round/>
            </a:ln>
            <a:effectLst/>
          </c:spPr>
          <c:marker>
            <c:symbol val="none"/>
          </c:marker>
          <c:dLbls>
            <c:dLbl>
              <c:idx val="0"/>
              <c:tx>
                <c:rich>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fld id="{71707607-CEAE-C846-8551-E6DDFBAA984C}" type="CELLRANGE">
                      <a:rPr lang="en-US"/>
                      <a:pPr>
                        <a:defRPr sz="1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C686-B94C-B302-953B2E0569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LBC!$BF$44</c:f>
              <c:numCache>
                <c:formatCode>General</c:formatCode>
                <c:ptCount val="1"/>
                <c:pt idx="0">
                  <c:v>12</c:v>
                </c:pt>
              </c:numCache>
            </c:numRef>
          </c:xVal>
          <c:yVal>
            <c:numRef>
              <c:f>LBC!$BG$44</c:f>
              <c:numCache>
                <c:formatCode>General</c:formatCode>
                <c:ptCount val="1"/>
                <c:pt idx="0">
                  <c:v>90</c:v>
                </c:pt>
              </c:numCache>
            </c:numRef>
          </c:yVal>
          <c:smooth val="1"/>
          <c:extLst>
            <c:ext xmlns:c15="http://schemas.microsoft.com/office/drawing/2012/chart" uri="{02D57815-91ED-43cb-92C2-25804820EDAC}">
              <c15:datalabelsRange>
                <c15:f>LBC!$BH$44</c15:f>
                <c15:dlblRangeCache>
                  <c:ptCount val="1"/>
                  <c:pt idx="0">
                    <c:v>LBC</c:v>
                  </c:pt>
                </c15:dlblRangeCache>
              </c15:datalabelsRange>
            </c:ext>
            <c:ext xmlns:c16="http://schemas.microsoft.com/office/drawing/2014/chart" uri="{C3380CC4-5D6E-409C-BE32-E72D297353CC}">
              <c16:uniqueId val="{0000005A-C686-B94C-B302-953B2E05696D}"/>
            </c:ext>
          </c:extLst>
        </c:ser>
        <c:ser>
          <c:idx val="19"/>
          <c:order val="34"/>
          <c:tx>
            <c:v>"Now"</c:v>
          </c:tx>
          <c:spPr>
            <a:ln w="19050" cap="rnd">
              <a:noFill/>
              <a:round/>
            </a:ln>
            <a:effectLst/>
          </c:spPr>
          <c:marker>
            <c:symbol val="circle"/>
            <c:size val="7"/>
            <c:spPr>
              <a:noFill/>
              <a:ln w="15875">
                <a:solidFill>
                  <a:srgbClr val="C00000"/>
                </a:solidFill>
              </a:ln>
              <a:effectLst/>
            </c:spPr>
          </c:marker>
          <c:dLbls>
            <c:dLbl>
              <c:idx val="0"/>
              <c:tx>
                <c:rich>
                  <a:bodyPr/>
                  <a:lstStyle/>
                  <a:p>
                    <a:fld id="{D02A572F-21C4-394D-84AC-8563F6C0C90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B-C686-B94C-B302-953B2E05696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LBC!$BF$45</c:f>
              <c:numCache>
                <c:formatCode>0.0</c:formatCode>
                <c:ptCount val="1"/>
                <c:pt idx="0">
                  <c:v>9</c:v>
                </c:pt>
              </c:numCache>
            </c:numRef>
          </c:xVal>
          <c:yVal>
            <c:numRef>
              <c:f>LBC!$BG$45</c:f>
              <c:numCache>
                <c:formatCode>General</c:formatCode>
                <c:ptCount val="1"/>
                <c:pt idx="0">
                  <c:v>4</c:v>
                </c:pt>
              </c:numCache>
            </c:numRef>
          </c:yVal>
          <c:smooth val="1"/>
          <c:extLst>
            <c:ext xmlns:c15="http://schemas.microsoft.com/office/drawing/2012/chart" uri="{02D57815-91ED-43cb-92C2-25804820EDAC}">
              <c15:datalabelsRange>
                <c15:f>LBC!$BH$45</c15:f>
                <c15:dlblRangeCache>
                  <c:ptCount val="1"/>
                  <c:pt idx="0">
                    <c:v>Now</c:v>
                  </c:pt>
                </c15:dlblRangeCache>
              </c15:datalabelsRange>
            </c:ext>
            <c:ext xmlns:c16="http://schemas.microsoft.com/office/drawing/2014/chart" uri="{C3380CC4-5D6E-409C-BE32-E72D297353CC}">
              <c16:uniqueId val="{0000005C-C686-B94C-B302-953B2E05696D}"/>
            </c:ext>
          </c:extLst>
        </c:ser>
        <c:ser>
          <c:idx val="34"/>
          <c:order val="35"/>
          <c:tx>
            <c:v>Alt at UT</c:v>
          </c:tx>
          <c:spPr>
            <a:ln w="19050" cap="rnd">
              <a:noFill/>
              <a:round/>
            </a:ln>
            <a:effectLst/>
          </c:spPr>
          <c:marker>
            <c:symbol val="circle"/>
            <c:size val="4"/>
            <c:spPr>
              <a:solidFill>
                <a:schemeClr val="lt1"/>
              </a:solidFill>
              <a:ln w="9525">
                <a:solidFill>
                  <a:schemeClr val="accent5">
                    <a:lumMod val="50000"/>
                  </a:schemeClr>
                </a:solidFill>
              </a:ln>
              <a:effectLst/>
            </c:spPr>
          </c:marker>
          <c:errBars>
            <c:errDir val="x"/>
            <c:errBarType val="plus"/>
            <c:errValType val="cust"/>
            <c:noEndCap val="0"/>
            <c:plus>
              <c:numRef>
                <c:f>LBC!$AU$4:$AU$24</c:f>
                <c:numCache>
                  <c:formatCode>General</c:formatCode>
                  <c:ptCount val="21"/>
                  <c:pt idx="0">
                    <c:v>#N/A</c:v>
                  </c:pt>
                  <c:pt idx="1">
                    <c:v>5.077171279086329</c:v>
                  </c:pt>
                  <c:pt idx="2">
                    <c:v>3.3871712790863278</c:v>
                  </c:pt>
                  <c:pt idx="3">
                    <c:v>2.9505046124196621</c:v>
                  </c:pt>
                  <c:pt idx="4">
                    <c:v>3.8505046124196589</c:v>
                  </c:pt>
                  <c:pt idx="5">
                    <c:v>3.8005046124196618</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plus>
            <c:minus>
              <c:numRef>
                <c:f>LBC!$AU$4:$AU$24</c:f>
                <c:numCache>
                  <c:formatCode>General</c:formatCode>
                  <c:ptCount val="21"/>
                  <c:pt idx="0">
                    <c:v>#N/A</c:v>
                  </c:pt>
                  <c:pt idx="1">
                    <c:v>5.077171279086329</c:v>
                  </c:pt>
                  <c:pt idx="2">
                    <c:v>3.3871712790863278</c:v>
                  </c:pt>
                  <c:pt idx="3">
                    <c:v>2.9505046124196621</c:v>
                  </c:pt>
                  <c:pt idx="4">
                    <c:v>3.8505046124196589</c:v>
                  </c:pt>
                  <c:pt idx="5">
                    <c:v>3.8005046124196618</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minus>
            <c:spPr>
              <a:ln>
                <a:solidFill>
                  <a:schemeClr val="bg1">
                    <a:lumMod val="65000"/>
                  </a:schemeClr>
                </a:solidFill>
              </a:ln>
            </c:spPr>
          </c:errBars>
          <c:errBars>
            <c:errDir val="y"/>
            <c:errBarType val="both"/>
            <c:errValType val="percentage"/>
            <c:noEndCap val="1"/>
            <c:val val="5"/>
            <c:spPr>
              <a:ln>
                <a:noFill/>
              </a:ln>
            </c:spPr>
          </c:errBars>
          <c:xVal>
            <c:numRef>
              <c:f>Calcs!$P$6:$P$26</c:f>
              <c:numCache>
                <c:formatCode>0.00</c:formatCode>
                <c:ptCount val="21"/>
                <c:pt idx="0">
                  <c:v>9</c:v>
                </c:pt>
                <c:pt idx="1">
                  <c:v>9</c:v>
                </c:pt>
                <c:pt idx="2">
                  <c:v>9</c:v>
                </c:pt>
                <c:pt idx="3">
                  <c:v>9</c:v>
                </c:pt>
                <c:pt idx="4">
                  <c:v>9</c:v>
                </c:pt>
                <c:pt idx="5">
                  <c:v>9</c:v>
                </c:pt>
                <c:pt idx="6">
                  <c:v>9</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xVal>
          <c:yVal>
            <c:numRef>
              <c:f>LBC!$AE$4:$AE$24</c:f>
              <c:numCache>
                <c:formatCode>0</c:formatCode>
                <c:ptCount val="21"/>
                <c:pt idx="0">
                  <c:v>-56.900681184640575</c:v>
                </c:pt>
                <c:pt idx="1">
                  <c:v>60.588212459251345</c:v>
                </c:pt>
                <c:pt idx="2">
                  <c:v>74.801975084918297</c:v>
                </c:pt>
                <c:pt idx="3">
                  <c:v>53.235926885126368</c:v>
                </c:pt>
                <c:pt idx="4">
                  <c:v>78.014984092155714</c:v>
                </c:pt>
                <c:pt idx="5">
                  <c:v>60.663137431885758</c:v>
                </c:pt>
                <c:pt idx="6">
                  <c:v>32.589654161330067</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1"/>
          <c:extLst>
            <c:ext xmlns:c16="http://schemas.microsoft.com/office/drawing/2014/chart" uri="{C3380CC4-5D6E-409C-BE32-E72D297353CC}">
              <c16:uniqueId val="{0000005D-C686-B94C-B302-953B2E05696D}"/>
            </c:ext>
          </c:extLst>
        </c:ser>
        <c:ser>
          <c:idx val="35"/>
          <c:order val="36"/>
          <c:tx>
            <c:v>Local Time</c:v>
          </c:tx>
          <c:spPr>
            <a:ln w="19050" cap="rnd">
              <a:noFill/>
              <a:round/>
            </a:ln>
            <a:effectLst/>
          </c:spPr>
          <c:marker>
            <c:symbol val="none"/>
          </c:marker>
          <c:dLbls>
            <c:dLbl>
              <c:idx val="0"/>
              <c:tx>
                <c:rich>
                  <a:bodyPr/>
                  <a:lstStyle/>
                  <a:p>
                    <a:fld id="{721AA5B1-B504-B245-8E44-507BB4D8BE5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C686-B94C-B302-953B2E05696D}"/>
                </c:ext>
              </c:extLst>
            </c:dLbl>
            <c:dLbl>
              <c:idx val="1"/>
              <c:tx>
                <c:rich>
                  <a:bodyPr/>
                  <a:lstStyle/>
                  <a:p>
                    <a:fld id="{70655283-DBF0-4A4C-A777-E6D01321600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C686-B94C-B302-953B2E05696D}"/>
                </c:ext>
              </c:extLst>
            </c:dLbl>
            <c:dLbl>
              <c:idx val="2"/>
              <c:tx>
                <c:rich>
                  <a:bodyPr/>
                  <a:lstStyle/>
                  <a:p>
                    <a:fld id="{D3AE8784-BA28-404A-BA18-2DC4F2EB872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C686-B94C-B302-953B2E05696D}"/>
                </c:ext>
              </c:extLst>
            </c:dLbl>
            <c:dLbl>
              <c:idx val="3"/>
              <c:tx>
                <c:rich>
                  <a:bodyPr/>
                  <a:lstStyle/>
                  <a:p>
                    <a:fld id="{BAC63D60-71A5-724B-9BED-B56FAE7D138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C686-B94C-B302-953B2E05696D}"/>
                </c:ext>
              </c:extLst>
            </c:dLbl>
            <c:dLbl>
              <c:idx val="4"/>
              <c:tx>
                <c:rich>
                  <a:bodyPr/>
                  <a:lstStyle/>
                  <a:p>
                    <a:fld id="{5EA0360C-D5C8-4946-8C82-2528C06D3FC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C686-B94C-B302-953B2E05696D}"/>
                </c:ext>
              </c:extLst>
            </c:dLbl>
            <c:dLbl>
              <c:idx val="5"/>
              <c:tx>
                <c:rich>
                  <a:bodyPr/>
                  <a:lstStyle/>
                  <a:p>
                    <a:fld id="{C886D38A-7081-C843-85DE-8316BBE5F3A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C686-B94C-B302-953B2E05696D}"/>
                </c:ext>
              </c:extLst>
            </c:dLbl>
            <c:dLbl>
              <c:idx val="6"/>
              <c:tx>
                <c:rich>
                  <a:bodyPr/>
                  <a:lstStyle/>
                  <a:p>
                    <a:fld id="{6FC71F11-F4F9-F04B-A2BE-3A039B21226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C686-B94C-B302-953B2E05696D}"/>
                </c:ext>
              </c:extLst>
            </c:dLbl>
            <c:dLbl>
              <c:idx val="7"/>
              <c:tx>
                <c:rich>
                  <a:bodyPr/>
                  <a:lstStyle/>
                  <a:p>
                    <a:fld id="{EAD247A1-3AA4-8F40-BAFD-56045BA5379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C686-B94C-B302-953B2E05696D}"/>
                </c:ext>
              </c:extLst>
            </c:dLbl>
            <c:dLbl>
              <c:idx val="8"/>
              <c:tx>
                <c:rich>
                  <a:bodyPr/>
                  <a:lstStyle/>
                  <a:p>
                    <a:fld id="{D97AB564-D67B-664B-933D-613755781E1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C686-B94C-B302-953B2E05696D}"/>
                </c:ext>
              </c:extLst>
            </c:dLbl>
            <c:dLbl>
              <c:idx val="9"/>
              <c:tx>
                <c:rich>
                  <a:bodyPr/>
                  <a:lstStyle/>
                  <a:p>
                    <a:fld id="{A1E01D06-31AF-3942-9346-6DFD85CF803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C686-B94C-B302-953B2E05696D}"/>
                </c:ext>
              </c:extLst>
            </c:dLbl>
            <c:dLbl>
              <c:idx val="10"/>
              <c:tx>
                <c:rich>
                  <a:bodyPr/>
                  <a:lstStyle/>
                  <a:p>
                    <a:fld id="{3912DECC-D863-0C43-A3B7-6F9BCAB31D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C686-B94C-B302-953B2E05696D}"/>
                </c:ext>
              </c:extLst>
            </c:dLbl>
            <c:dLbl>
              <c:idx val="11"/>
              <c:tx>
                <c:rich>
                  <a:bodyPr/>
                  <a:lstStyle/>
                  <a:p>
                    <a:fld id="{DD562B7C-8F8F-9D4B-874B-799DD0EB80B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C686-B94C-B302-953B2E05696D}"/>
                </c:ext>
              </c:extLst>
            </c:dLbl>
            <c:dLbl>
              <c:idx val="12"/>
              <c:tx>
                <c:rich>
                  <a:bodyPr/>
                  <a:lstStyle/>
                  <a:p>
                    <a:fld id="{8FA3409E-3440-BC4A-BA33-3FBB0D93690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C686-B94C-B302-953B2E0569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Calcs!$S$4:$S$16</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xVal>
          <c:yVal>
            <c:numRef>
              <c:f>Calcs!$T$4:$T$16</c:f>
              <c:numCache>
                <c:formatCode>General</c:formatCode>
                <c:ptCount val="13"/>
                <c:pt idx="0">
                  <c:v>88</c:v>
                </c:pt>
                <c:pt idx="1">
                  <c:v>88</c:v>
                </c:pt>
                <c:pt idx="2">
                  <c:v>88</c:v>
                </c:pt>
                <c:pt idx="3">
                  <c:v>88</c:v>
                </c:pt>
                <c:pt idx="4">
                  <c:v>88</c:v>
                </c:pt>
                <c:pt idx="5">
                  <c:v>88</c:v>
                </c:pt>
                <c:pt idx="6">
                  <c:v>88</c:v>
                </c:pt>
                <c:pt idx="7">
                  <c:v>88</c:v>
                </c:pt>
                <c:pt idx="8">
                  <c:v>88</c:v>
                </c:pt>
                <c:pt idx="9">
                  <c:v>88</c:v>
                </c:pt>
                <c:pt idx="10">
                  <c:v>88</c:v>
                </c:pt>
                <c:pt idx="11">
                  <c:v>88</c:v>
                </c:pt>
                <c:pt idx="12">
                  <c:v>88</c:v>
                </c:pt>
              </c:numCache>
            </c:numRef>
          </c:yVal>
          <c:smooth val="1"/>
          <c:extLst>
            <c:ext xmlns:c15="http://schemas.microsoft.com/office/drawing/2012/chart" uri="{02D57815-91ED-43cb-92C2-25804820EDAC}">
              <c15:datalabelsRange>
                <c15:f>Calcs!$U$4:$U$16</c15:f>
                <c15:dlblRangeCache>
                  <c:ptCount val="13"/>
                  <c:pt idx="0">
                    <c:v>8 pm</c:v>
                  </c:pt>
                  <c:pt idx="1">
                    <c:v>9 pm</c:v>
                  </c:pt>
                  <c:pt idx="2">
                    <c:v>10 pm</c:v>
                  </c:pt>
                  <c:pt idx="3">
                    <c:v>11 pm</c:v>
                  </c:pt>
                  <c:pt idx="4">
                    <c:v>0 am</c:v>
                  </c:pt>
                  <c:pt idx="5">
                    <c:v>1 am</c:v>
                  </c:pt>
                  <c:pt idx="6">
                    <c:v>2 am</c:v>
                  </c:pt>
                  <c:pt idx="7">
                    <c:v>3 am</c:v>
                  </c:pt>
                  <c:pt idx="8">
                    <c:v>4 am</c:v>
                  </c:pt>
                  <c:pt idx="9">
                    <c:v>5 am</c:v>
                  </c:pt>
                  <c:pt idx="10">
                    <c:v>6 am</c:v>
                  </c:pt>
                  <c:pt idx="11">
                    <c:v>7 am</c:v>
                  </c:pt>
                  <c:pt idx="12">
                    <c:v>8 am</c:v>
                  </c:pt>
                </c15:dlblRangeCache>
              </c15:datalabelsRange>
            </c:ext>
            <c:ext xmlns:c16="http://schemas.microsoft.com/office/drawing/2014/chart" uri="{C3380CC4-5D6E-409C-BE32-E72D297353CC}">
              <c16:uniqueId val="{0000006B-C686-B94C-B302-953B2E05696D}"/>
            </c:ext>
          </c:extLst>
        </c:ser>
        <c:ser>
          <c:idx val="37"/>
          <c:order val="37"/>
          <c:tx>
            <c:v>Date</c:v>
          </c:tx>
          <c:marker>
            <c:symbol val="none"/>
          </c:marker>
          <c:dLbls>
            <c:dLbl>
              <c:idx val="0"/>
              <c:tx>
                <c:rich>
                  <a:bodyPr/>
                  <a:lstStyle/>
                  <a:p>
                    <a:fld id="{760C1B9B-C0A2-084B-B8B3-6D5178A74B3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1F6-214C-8272-D8AC3DAFFD67}"/>
                </c:ext>
              </c:extLst>
            </c:dLbl>
            <c:spPr>
              <a:noFill/>
              <a:ln>
                <a:noFill/>
              </a:ln>
              <a:effectLst/>
            </c:spPr>
            <c:txPr>
              <a:bodyPr wrap="square" lIns="38100" tIns="19050" rIns="38100" bIns="19050" anchor="ctr">
                <a:spAutoFit/>
              </a:bodyPr>
              <a:lstStyle/>
              <a:p>
                <a:pPr>
                  <a:defRPr sz="1600">
                    <a:solidFill>
                      <a:schemeClr val="tx1">
                        <a:lumMod val="65000"/>
                        <a:lumOff val="35000"/>
                      </a:schemeClr>
                    </a:solidFill>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Calcs!$S$20</c:f>
              <c:numCache>
                <c:formatCode>General</c:formatCode>
                <c:ptCount val="1"/>
                <c:pt idx="0">
                  <c:v>2</c:v>
                </c:pt>
              </c:numCache>
            </c:numRef>
          </c:xVal>
          <c:yVal>
            <c:numRef>
              <c:f>Calcs!$T$20</c:f>
              <c:numCache>
                <c:formatCode>General</c:formatCode>
                <c:ptCount val="1"/>
                <c:pt idx="0">
                  <c:v>90</c:v>
                </c:pt>
              </c:numCache>
            </c:numRef>
          </c:yVal>
          <c:smooth val="1"/>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E1F6-214C-8272-D8AC3DAFFD67}"/>
            </c:ext>
          </c:extLst>
        </c:ser>
        <c:dLbls>
          <c:showLegendKey val="0"/>
          <c:showVal val="0"/>
          <c:showCatName val="0"/>
          <c:showSerName val="0"/>
          <c:showPercent val="0"/>
          <c:showBubbleSize val="0"/>
        </c:dLbls>
        <c:axId val="241103296"/>
        <c:axId val="580761936"/>
      </c:scatterChart>
      <c:valAx>
        <c:axId val="241103296"/>
        <c:scaling>
          <c:orientation val="minMax"/>
          <c:max val="1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UT (hr)</a:t>
                </a:r>
              </a:p>
            </c:rich>
          </c:tx>
          <c:overlay val="0"/>
          <c:spPr>
            <a:noFill/>
            <a:ln>
              <a:noFill/>
            </a:ln>
            <a:effectLst/>
          </c:spPr>
        </c:title>
        <c:numFmt formatCode="0"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0761936"/>
        <c:crosses val="autoZero"/>
        <c:crossBetween val="midCat"/>
        <c:majorUnit val="1"/>
      </c:valAx>
      <c:valAx>
        <c:axId val="580761936"/>
        <c:scaling>
          <c:orientation val="minMax"/>
          <c:max val="9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Altitude (deg)</a:t>
                </a:r>
              </a:p>
            </c:rich>
          </c:tx>
          <c:overlay val="0"/>
          <c:spPr>
            <a:noFill/>
            <a:ln>
              <a:noFill/>
            </a:ln>
            <a:effectLst/>
          </c:spPr>
        </c:title>
        <c:numFmt formatCode="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1103296"/>
        <c:crosses val="autoZero"/>
        <c:crossBetween val="midCat"/>
      </c:valAx>
      <c:spPr>
        <a:solidFill>
          <a:schemeClr val="lt1"/>
        </a:soli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100000">
          <a:schemeClr val="accent6">
            <a:lumMod val="30000"/>
            <a:lumOff val="70000"/>
          </a:schemeClr>
        </a:gs>
      </a:gsLst>
      <a:lin ang="2700000" scaled="1"/>
      <a:tileRect/>
    </a:gradFill>
    <a:ln w="19050" cap="flat" cmpd="sng" algn="ctr">
      <a:solidFill>
        <a:srgbClr val="FF0000"/>
      </a:solidFill>
      <a:round/>
    </a:ln>
    <a:effectLst/>
  </c:spPr>
  <c:txPr>
    <a:bodyPr/>
    <a:lstStyle/>
    <a:p>
      <a:pPr>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Objects</c:v>
          </c:tx>
          <c:spPr>
            <a:ln w="38100" cap="rnd">
              <a:noFill/>
              <a:round/>
            </a:ln>
            <a:effectLst/>
          </c:spPr>
          <c:marker>
            <c:symbol val="none"/>
          </c:marker>
          <c:dLbls>
            <c:dLbl>
              <c:idx val="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0-3D17-2F4E-BB93-C961AA0D7183}"/>
                </c:ext>
              </c:extLst>
            </c:dLbl>
            <c:dLbl>
              <c:idx val="1"/>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BF3F1229-780E-BC4E-AEE6-39EDDB8F456E}" type="CELLRANGE">
                      <a:rPr lang="en-US"/>
                      <a:pPr>
                        <a:defRPr sz="1000" b="1">
                          <a:solidFill>
                            <a:srgbClr val="FF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D17-2F4E-BB93-C961AA0D7183}"/>
                </c:ext>
              </c:extLst>
            </c:dLbl>
            <c:dLbl>
              <c:idx val="2"/>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0BAC10C8-9A9B-104F-AC6A-57A6B23D9663}" type="CELLRANGE">
                      <a:rPr lang="en-US"/>
                      <a:pPr>
                        <a:defRPr sz="1000" b="1">
                          <a:solidFill>
                            <a:srgbClr val="FF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D17-2F4E-BB93-C961AA0D7183}"/>
                </c:ext>
              </c:extLst>
            </c:dLbl>
            <c:dLbl>
              <c:idx val="3"/>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FF9854BB-A4FA-5148-893B-8727B1717C4F}" type="CELLRANGE">
                      <a:rPr lang="en-US"/>
                      <a:pPr>
                        <a:defRPr sz="1000" b="1">
                          <a:solidFill>
                            <a:srgbClr val="FF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D17-2F4E-BB93-C961AA0D7183}"/>
                </c:ext>
              </c:extLst>
            </c:dLbl>
            <c:dLbl>
              <c:idx val="4"/>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3C7753AA-8E71-EF4A-9E14-AFB862295866}" type="CELLRANGE">
                      <a:rPr lang="en-US"/>
                      <a:pPr>
                        <a:defRPr sz="1000" b="1">
                          <a:solidFill>
                            <a:srgbClr val="0070C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D17-2F4E-BB93-C961AA0D7183}"/>
                </c:ext>
              </c:extLst>
            </c:dLbl>
            <c:dLbl>
              <c:idx val="5"/>
              <c:tx>
                <c:rich>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fld id="{C542714B-C1B2-AE45-BAB5-B87B54730F94}" type="CELLRANGE">
                      <a:rPr lang="en-US"/>
                      <a:pPr>
                        <a:defRPr sz="1000" b="1">
                          <a:solidFill>
                            <a:srgbClr val="0070C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70C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D17-2F4E-BB93-C961AA0D7183}"/>
                </c:ext>
              </c:extLst>
            </c:dLbl>
            <c:dLbl>
              <c:idx val="6"/>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fld id="{B79DCE75-3F5F-AA40-B79F-3FC22D2ECA50}" type="CELLRANGE">
                      <a:rPr lang="en-US"/>
                      <a:pPr>
                        <a:defRPr sz="1000" b="1">
                          <a:solidFill>
                            <a:srgbClr val="FF0000"/>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3D17-2F4E-BB93-C961AA0D7183}"/>
                </c:ext>
              </c:extLst>
            </c:dLbl>
            <c:dLbl>
              <c:idx val="7"/>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3D17-2F4E-BB93-C961AA0D7183}"/>
                </c:ext>
              </c:extLst>
            </c:dLbl>
            <c:dLbl>
              <c:idx val="8"/>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3D17-2F4E-BB93-C961AA0D7183}"/>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3D17-2F4E-BB93-C961AA0D7183}"/>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3D17-2F4E-BB93-C961AA0D7183}"/>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3D17-2F4E-BB93-C961AA0D7183}"/>
                </c:ext>
              </c:extLst>
            </c:dLbl>
            <c:dLbl>
              <c:idx val="1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3D17-2F4E-BB93-C961AA0D7183}"/>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3D17-2F4E-BB93-C961AA0D7183}"/>
                </c:ext>
              </c:extLst>
            </c:dLbl>
            <c:dLbl>
              <c:idx val="14"/>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3D17-2F4E-BB93-C961AA0D7183}"/>
                </c:ext>
              </c:extLst>
            </c:dLbl>
            <c:dLbl>
              <c:idx val="15"/>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3D17-2F4E-BB93-C961AA0D7183}"/>
                </c:ext>
              </c:extLst>
            </c:dLbl>
            <c:dLbl>
              <c:idx val="16"/>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3D17-2F4E-BB93-C961AA0D7183}"/>
                </c:ext>
              </c:extLst>
            </c:dLbl>
            <c:dLbl>
              <c:idx val="17"/>
              <c:tx>
                <c:rich>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F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3D17-2F4E-BB93-C961AA0D7183}"/>
                </c:ext>
              </c:extLst>
            </c:dLbl>
            <c:dLbl>
              <c:idx val="18"/>
              <c:tx>
                <c:rich>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3D17-2F4E-BB93-C961AA0D7183}"/>
                </c:ext>
              </c:extLst>
            </c:dLbl>
            <c:dLbl>
              <c:idx val="19"/>
              <c:tx>
                <c:rich>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3D17-2F4E-BB93-C961AA0D7183}"/>
                </c:ext>
              </c:extLst>
            </c:dLbl>
            <c:dLbl>
              <c:idx val="20"/>
              <c:tx>
                <c:rich>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B050"/>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3D17-2F4E-BB93-C961AA0D718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LBC!$AS$4:$AS$24</c:f>
              <c:numCache>
                <c:formatCode>0.00</c:formatCode>
                <c:ptCount val="21"/>
                <c:pt idx="0">
                  <c:v>#N/A</c:v>
                </c:pt>
                <c:pt idx="1">
                  <c:v>-0.19157039433307818</c:v>
                </c:pt>
                <c:pt idx="2">
                  <c:v>-0.12248203417301903</c:v>
                </c:pt>
                <c:pt idx="3">
                  <c:v>-7.5568239398943679E-3</c:v>
                </c:pt>
                <c:pt idx="4">
                  <c:v>-3.8607197496595087E-2</c:v>
                </c:pt>
                <c:pt idx="5">
                  <c:v>-4.2987035507210114E-2</c:v>
                </c:pt>
                <c:pt idx="6">
                  <c:v>-0.47958540483610018</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xVal>
          <c:yVal>
            <c:numRef>
              <c:f>LBC!$AT$4:$AT$24</c:f>
              <c:numCache>
                <c:formatCode>0.00</c:formatCode>
                <c:ptCount val="21"/>
                <c:pt idx="0">
                  <c:v>#N/A</c:v>
                </c:pt>
                <c:pt idx="1">
                  <c:v>0.2647592889670638</c:v>
                </c:pt>
                <c:pt idx="2">
                  <c:v>-0.11625057381440397</c:v>
                </c:pt>
                <c:pt idx="3">
                  <c:v>0.40841979685221241</c:v>
                </c:pt>
                <c:pt idx="4">
                  <c:v>0.12744760683526682</c:v>
                </c:pt>
                <c:pt idx="5">
                  <c:v>0.32311822455960532</c:v>
                </c:pt>
                <c:pt idx="6">
                  <c:v>-0.42060073278674615</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5="http://schemas.microsoft.com/office/drawing/2012/chart" uri="{02D57815-91ED-43cb-92C2-25804820EDAC}">
              <c15:datalabelsRange>
                <c15:f>LBC!$W$4:$W$24</c15:f>
                <c15:dlblRangeCache>
                  <c:ptCount val="21"/>
                  <c:pt idx="0">
                    <c:v>Moon</c:v>
                  </c:pt>
                  <c:pt idx="1">
                    <c:v>N5474</c:v>
                  </c:pt>
                  <c:pt idx="2">
                    <c:v>N4826</c:v>
                  </c:pt>
                  <c:pt idx="3">
                    <c:v>N4236</c:v>
                  </c:pt>
                  <c:pt idx="4">
                    <c:v>N4449</c:v>
                  </c:pt>
                  <c:pt idx="5">
                    <c:v>N4605</c:v>
                  </c:pt>
                  <c:pt idx="6">
                    <c:v>SN95n</c:v>
                  </c:pt>
                </c15:dlblRangeCache>
              </c15:datalabelsRange>
            </c:ext>
            <c:ext xmlns:c16="http://schemas.microsoft.com/office/drawing/2014/chart" uri="{C3380CC4-5D6E-409C-BE32-E72D297353CC}">
              <c16:uniqueId val="{00000015-3D17-2F4E-BB93-C961AA0D7183}"/>
            </c:ext>
          </c:extLst>
        </c:ser>
        <c:ser>
          <c:idx val="2"/>
          <c:order val="1"/>
          <c:tx>
            <c:v>zenith</c:v>
          </c:tx>
          <c:spPr>
            <a:ln w="25400" cap="rnd">
              <a:noFill/>
              <a:round/>
            </a:ln>
            <a:effectLst/>
          </c:spPr>
          <c:marker>
            <c:symbol val="plus"/>
            <c:size val="7"/>
            <c:spPr>
              <a:noFill/>
              <a:ln w="15875">
                <a:solidFill>
                  <a:srgbClr val="FF0000"/>
                </a:solidFill>
              </a:ln>
              <a:effectLst/>
            </c:spPr>
          </c:marker>
          <c:xVal>
            <c:numRef>
              <c:f>Calcs!$S$53</c:f>
              <c:numCache>
                <c:formatCode>0.00</c:formatCode>
                <c:ptCount val="1"/>
                <c:pt idx="0">
                  <c:v>0</c:v>
                </c:pt>
              </c:numCache>
            </c:numRef>
          </c:xVal>
          <c:yVal>
            <c:numRef>
              <c:f>Calcs!$T$53</c:f>
              <c:numCache>
                <c:formatCode>General</c:formatCode>
                <c:ptCount val="1"/>
                <c:pt idx="0">
                  <c:v>0</c:v>
                </c:pt>
              </c:numCache>
            </c:numRef>
          </c:yVal>
          <c:smooth val="0"/>
          <c:extLst>
            <c:ext xmlns:c16="http://schemas.microsoft.com/office/drawing/2014/chart" uri="{C3380CC4-5D6E-409C-BE32-E72D297353CC}">
              <c16:uniqueId val="{00000016-3D17-2F4E-BB93-C961AA0D7183}"/>
            </c:ext>
          </c:extLst>
        </c:ser>
        <c:ser>
          <c:idx val="1"/>
          <c:order val="2"/>
          <c:tx>
            <c:v>Az 0</c:v>
          </c:tx>
          <c:spPr>
            <a:ln w="25400" cap="rnd">
              <a:noFill/>
              <a:round/>
            </a:ln>
            <a:effectLst/>
          </c:spPr>
          <c:marker>
            <c:symbol val="x"/>
            <c:size val="5"/>
            <c:spPr>
              <a:noFill/>
              <a:ln w="9525">
                <a:solidFill>
                  <a:srgbClr val="FF0000"/>
                </a:solidFill>
              </a:ln>
              <a:effectLst/>
            </c:spPr>
          </c:marker>
          <c:xVal>
            <c:numRef>
              <c:f>Calcs!$S$55:$S$59</c:f>
              <c:numCache>
                <c:formatCode>0.00</c:formatCode>
                <c:ptCount val="5"/>
                <c:pt idx="0">
                  <c:v>0</c:v>
                </c:pt>
                <c:pt idx="1">
                  <c:v>0</c:v>
                </c:pt>
                <c:pt idx="2">
                  <c:v>0</c:v>
                </c:pt>
                <c:pt idx="3">
                  <c:v>0</c:v>
                </c:pt>
                <c:pt idx="4">
                  <c:v>0</c:v>
                </c:pt>
              </c:numCache>
            </c:numRef>
          </c:xVal>
          <c:yVal>
            <c:numRef>
              <c:f>Calcs!$S$63:$S$67</c:f>
              <c:numCache>
                <c:formatCode>0.00</c:formatCode>
                <c:ptCount val="5"/>
                <c:pt idx="0">
                  <c:v>1</c:v>
                </c:pt>
                <c:pt idx="1">
                  <c:v>0.77777777777777779</c:v>
                </c:pt>
                <c:pt idx="2">
                  <c:v>0.55555555555555558</c:v>
                </c:pt>
                <c:pt idx="3">
                  <c:v>0.33333333333333331</c:v>
                </c:pt>
                <c:pt idx="4">
                  <c:v>0.1111111111111111</c:v>
                </c:pt>
              </c:numCache>
            </c:numRef>
          </c:yVal>
          <c:smooth val="0"/>
          <c:extLst>
            <c:ext xmlns:c16="http://schemas.microsoft.com/office/drawing/2014/chart" uri="{C3380CC4-5D6E-409C-BE32-E72D297353CC}">
              <c16:uniqueId val="{00000017-3D17-2F4E-BB93-C961AA0D7183}"/>
            </c:ext>
          </c:extLst>
        </c:ser>
        <c:ser>
          <c:idx val="3"/>
          <c:order val="3"/>
          <c:tx>
            <c:v>AZ 30</c:v>
          </c:tx>
          <c:spPr>
            <a:ln w="25400" cap="rnd">
              <a:noFill/>
              <a:round/>
            </a:ln>
            <a:effectLst/>
          </c:spPr>
          <c:marker>
            <c:symbol val="x"/>
            <c:size val="5"/>
            <c:spPr>
              <a:noFill/>
              <a:ln w="9525">
                <a:solidFill>
                  <a:srgbClr val="FF0000"/>
                </a:solidFill>
              </a:ln>
              <a:effectLst/>
            </c:spPr>
          </c:marker>
          <c:xVal>
            <c:numRef>
              <c:f>Calcs!$T$55:$T$59</c:f>
              <c:numCache>
                <c:formatCode>0.00</c:formatCode>
                <c:ptCount val="5"/>
                <c:pt idx="0">
                  <c:v>0.49999999999999994</c:v>
                </c:pt>
                <c:pt idx="1">
                  <c:v>0.38888888888888884</c:v>
                </c:pt>
                <c:pt idx="2">
                  <c:v>0.27777777777777773</c:v>
                </c:pt>
                <c:pt idx="3">
                  <c:v>0.16666666666666663</c:v>
                </c:pt>
                <c:pt idx="4">
                  <c:v>5.5555555555555546E-2</c:v>
                </c:pt>
              </c:numCache>
            </c:numRef>
          </c:xVal>
          <c:yVal>
            <c:numRef>
              <c:f>Calcs!$T$63:$T$67</c:f>
              <c:numCache>
                <c:formatCode>0.00</c:formatCode>
                <c:ptCount val="5"/>
                <c:pt idx="0">
                  <c:v>0.86602540378443871</c:v>
                </c:pt>
                <c:pt idx="1">
                  <c:v>0.6735753140545635</c:v>
                </c:pt>
                <c:pt idx="2">
                  <c:v>0.48112522432468818</c:v>
                </c:pt>
                <c:pt idx="3">
                  <c:v>0.28867513459481287</c:v>
                </c:pt>
                <c:pt idx="4">
                  <c:v>9.6225044864937631E-2</c:v>
                </c:pt>
              </c:numCache>
            </c:numRef>
          </c:yVal>
          <c:smooth val="0"/>
          <c:extLst>
            <c:ext xmlns:c16="http://schemas.microsoft.com/office/drawing/2014/chart" uri="{C3380CC4-5D6E-409C-BE32-E72D297353CC}">
              <c16:uniqueId val="{00000018-3D17-2F4E-BB93-C961AA0D7183}"/>
            </c:ext>
          </c:extLst>
        </c:ser>
        <c:ser>
          <c:idx val="4"/>
          <c:order val="4"/>
          <c:tx>
            <c:v>AZ 60</c:v>
          </c:tx>
          <c:spPr>
            <a:ln w="25400" cap="rnd">
              <a:noFill/>
              <a:round/>
            </a:ln>
            <a:effectLst/>
          </c:spPr>
          <c:marker>
            <c:symbol val="x"/>
            <c:size val="5"/>
            <c:spPr>
              <a:noFill/>
              <a:ln w="9525">
                <a:solidFill>
                  <a:srgbClr val="FF0000"/>
                </a:solidFill>
              </a:ln>
              <a:effectLst/>
            </c:spPr>
          </c:marker>
          <c:xVal>
            <c:numRef>
              <c:f>Calcs!$U$55:$U$59</c:f>
              <c:numCache>
                <c:formatCode>0.00</c:formatCode>
                <c:ptCount val="5"/>
                <c:pt idx="0">
                  <c:v>0.8660254037844386</c:v>
                </c:pt>
                <c:pt idx="1">
                  <c:v>0.67357531405456339</c:v>
                </c:pt>
                <c:pt idx="2">
                  <c:v>0.48112522432468813</c:v>
                </c:pt>
                <c:pt idx="3">
                  <c:v>0.28867513459481287</c:v>
                </c:pt>
                <c:pt idx="4">
                  <c:v>9.6225044864937617E-2</c:v>
                </c:pt>
              </c:numCache>
            </c:numRef>
          </c:xVal>
          <c:yVal>
            <c:numRef>
              <c:f>Calcs!$U$63:$U$67</c:f>
              <c:numCache>
                <c:formatCode>0.00</c:formatCode>
                <c:ptCount val="5"/>
                <c:pt idx="0">
                  <c:v>0.50000000000000011</c:v>
                </c:pt>
                <c:pt idx="1">
                  <c:v>0.38888888888888901</c:v>
                </c:pt>
                <c:pt idx="2">
                  <c:v>0.27777777777777785</c:v>
                </c:pt>
                <c:pt idx="3">
                  <c:v>0.16666666666666669</c:v>
                </c:pt>
                <c:pt idx="4">
                  <c:v>5.5555555555555566E-2</c:v>
                </c:pt>
              </c:numCache>
            </c:numRef>
          </c:yVal>
          <c:smooth val="0"/>
          <c:extLst>
            <c:ext xmlns:c16="http://schemas.microsoft.com/office/drawing/2014/chart" uri="{C3380CC4-5D6E-409C-BE32-E72D297353CC}">
              <c16:uniqueId val="{00000019-3D17-2F4E-BB93-C961AA0D7183}"/>
            </c:ext>
          </c:extLst>
        </c:ser>
        <c:ser>
          <c:idx val="5"/>
          <c:order val="5"/>
          <c:tx>
            <c:v>AZ 90</c:v>
          </c:tx>
          <c:spPr>
            <a:ln w="25400" cap="rnd">
              <a:noFill/>
              <a:round/>
            </a:ln>
            <a:effectLst/>
          </c:spPr>
          <c:marker>
            <c:symbol val="x"/>
            <c:size val="5"/>
            <c:spPr>
              <a:noFill/>
              <a:ln w="9525">
                <a:solidFill>
                  <a:srgbClr val="FF0000"/>
                </a:solidFill>
              </a:ln>
              <a:effectLst/>
            </c:spPr>
          </c:marker>
          <c:xVal>
            <c:numRef>
              <c:f>Calcs!$V$55:$V$59</c:f>
              <c:numCache>
                <c:formatCode>0.00</c:formatCode>
                <c:ptCount val="5"/>
                <c:pt idx="0">
                  <c:v>1</c:v>
                </c:pt>
                <c:pt idx="1">
                  <c:v>0.77777777777777779</c:v>
                </c:pt>
                <c:pt idx="2">
                  <c:v>0.55555555555555558</c:v>
                </c:pt>
                <c:pt idx="3">
                  <c:v>0.33333333333333331</c:v>
                </c:pt>
                <c:pt idx="4">
                  <c:v>0.1111111111111111</c:v>
                </c:pt>
              </c:numCache>
            </c:numRef>
          </c:xVal>
          <c:yVal>
            <c:numRef>
              <c:f>Calcs!$V$63:$V$67</c:f>
              <c:numCache>
                <c:formatCode>0.00</c:formatCode>
                <c:ptCount val="5"/>
                <c:pt idx="0">
                  <c:v>6.1257422745431001E-17</c:v>
                </c:pt>
                <c:pt idx="1">
                  <c:v>4.7644662135335224E-17</c:v>
                </c:pt>
                <c:pt idx="2">
                  <c:v>3.4031901525239447E-17</c:v>
                </c:pt>
                <c:pt idx="3">
                  <c:v>2.0419140915143665E-17</c:v>
                </c:pt>
                <c:pt idx="4">
                  <c:v>6.8063803050478883E-18</c:v>
                </c:pt>
              </c:numCache>
            </c:numRef>
          </c:yVal>
          <c:smooth val="0"/>
          <c:extLst>
            <c:ext xmlns:c16="http://schemas.microsoft.com/office/drawing/2014/chart" uri="{C3380CC4-5D6E-409C-BE32-E72D297353CC}">
              <c16:uniqueId val="{0000001A-3D17-2F4E-BB93-C961AA0D7183}"/>
            </c:ext>
          </c:extLst>
        </c:ser>
        <c:ser>
          <c:idx val="6"/>
          <c:order val="6"/>
          <c:tx>
            <c:v>AZ 120</c:v>
          </c:tx>
          <c:spPr>
            <a:ln w="25400" cap="rnd">
              <a:noFill/>
              <a:round/>
            </a:ln>
            <a:effectLst/>
          </c:spPr>
          <c:marker>
            <c:symbol val="x"/>
            <c:size val="5"/>
            <c:spPr>
              <a:noFill/>
              <a:ln w="9525">
                <a:solidFill>
                  <a:srgbClr val="FF0000"/>
                </a:solidFill>
              </a:ln>
              <a:effectLst/>
            </c:spPr>
          </c:marker>
          <c:xVal>
            <c:numRef>
              <c:f>Calcs!$W$55:$W$59</c:f>
              <c:numCache>
                <c:formatCode>0.00</c:formatCode>
                <c:ptCount val="5"/>
                <c:pt idx="0">
                  <c:v>0.86602540378443871</c:v>
                </c:pt>
                <c:pt idx="1">
                  <c:v>0.6735753140545635</c:v>
                </c:pt>
                <c:pt idx="2">
                  <c:v>0.48112522432468818</c:v>
                </c:pt>
                <c:pt idx="3">
                  <c:v>0.28867513459481287</c:v>
                </c:pt>
                <c:pt idx="4">
                  <c:v>9.6225044864937631E-2</c:v>
                </c:pt>
              </c:numCache>
            </c:numRef>
          </c:xVal>
          <c:yVal>
            <c:numRef>
              <c:f>Calcs!$W$63:$W$67</c:f>
              <c:numCache>
                <c:formatCode>0.00</c:formatCode>
                <c:ptCount val="5"/>
                <c:pt idx="0">
                  <c:v>-0.49999999999999978</c:v>
                </c:pt>
                <c:pt idx="1">
                  <c:v>-0.38888888888888873</c:v>
                </c:pt>
                <c:pt idx="2">
                  <c:v>-0.27777777777777768</c:v>
                </c:pt>
                <c:pt idx="3">
                  <c:v>-0.16666666666666657</c:v>
                </c:pt>
                <c:pt idx="4">
                  <c:v>-5.5555555555555525E-2</c:v>
                </c:pt>
              </c:numCache>
            </c:numRef>
          </c:yVal>
          <c:smooth val="0"/>
          <c:extLst>
            <c:ext xmlns:c16="http://schemas.microsoft.com/office/drawing/2014/chart" uri="{C3380CC4-5D6E-409C-BE32-E72D297353CC}">
              <c16:uniqueId val="{0000001B-3D17-2F4E-BB93-C961AA0D7183}"/>
            </c:ext>
          </c:extLst>
        </c:ser>
        <c:ser>
          <c:idx val="7"/>
          <c:order val="7"/>
          <c:tx>
            <c:v>AZ 150</c:v>
          </c:tx>
          <c:spPr>
            <a:ln w="25400" cap="rnd">
              <a:noFill/>
              <a:round/>
            </a:ln>
            <a:effectLst/>
          </c:spPr>
          <c:marker>
            <c:symbol val="x"/>
            <c:size val="5"/>
            <c:spPr>
              <a:noFill/>
              <a:ln w="9525">
                <a:solidFill>
                  <a:srgbClr val="FF0000"/>
                </a:solidFill>
              </a:ln>
              <a:effectLst/>
            </c:spPr>
          </c:marker>
          <c:xVal>
            <c:numRef>
              <c:f>Calcs!$X$55:$X$59</c:f>
              <c:numCache>
                <c:formatCode>0.00</c:formatCode>
                <c:ptCount val="5"/>
                <c:pt idx="0">
                  <c:v>0.49999999999999994</c:v>
                </c:pt>
                <c:pt idx="1">
                  <c:v>0.38888888888888884</c:v>
                </c:pt>
                <c:pt idx="2">
                  <c:v>0.27777777777777773</c:v>
                </c:pt>
                <c:pt idx="3">
                  <c:v>0.16666666666666663</c:v>
                </c:pt>
                <c:pt idx="4">
                  <c:v>5.5555555555555546E-2</c:v>
                </c:pt>
              </c:numCache>
            </c:numRef>
          </c:xVal>
          <c:yVal>
            <c:numRef>
              <c:f>Calcs!$X$63:$X$67</c:f>
              <c:numCache>
                <c:formatCode>0.00</c:formatCode>
                <c:ptCount val="5"/>
                <c:pt idx="0">
                  <c:v>-0.86602540378443871</c:v>
                </c:pt>
                <c:pt idx="1">
                  <c:v>-0.6735753140545635</c:v>
                </c:pt>
                <c:pt idx="2">
                  <c:v>-0.48112522432468818</c:v>
                </c:pt>
                <c:pt idx="3">
                  <c:v>-0.28867513459481287</c:v>
                </c:pt>
                <c:pt idx="4">
                  <c:v>-9.6225044864937631E-2</c:v>
                </c:pt>
              </c:numCache>
            </c:numRef>
          </c:yVal>
          <c:smooth val="0"/>
          <c:extLst>
            <c:ext xmlns:c16="http://schemas.microsoft.com/office/drawing/2014/chart" uri="{C3380CC4-5D6E-409C-BE32-E72D297353CC}">
              <c16:uniqueId val="{0000001C-3D17-2F4E-BB93-C961AA0D7183}"/>
            </c:ext>
          </c:extLst>
        </c:ser>
        <c:ser>
          <c:idx val="8"/>
          <c:order val="8"/>
          <c:tx>
            <c:v>AZ 180</c:v>
          </c:tx>
          <c:spPr>
            <a:ln w="25400" cap="rnd">
              <a:noFill/>
              <a:round/>
            </a:ln>
            <a:effectLst/>
          </c:spPr>
          <c:marker>
            <c:symbol val="x"/>
            <c:size val="5"/>
            <c:spPr>
              <a:noFill/>
              <a:ln w="9525">
                <a:solidFill>
                  <a:srgbClr val="FF0000"/>
                </a:solidFill>
              </a:ln>
              <a:effectLst/>
            </c:spPr>
          </c:marker>
          <c:xVal>
            <c:numRef>
              <c:f>Calcs!$Y$55:$Y$59</c:f>
              <c:numCache>
                <c:formatCode>0.00</c:formatCode>
                <c:ptCount val="5"/>
                <c:pt idx="0">
                  <c:v>1.22514845490862E-16</c:v>
                </c:pt>
                <c:pt idx="1">
                  <c:v>9.5289324270670448E-17</c:v>
                </c:pt>
                <c:pt idx="2">
                  <c:v>6.8063803050478895E-17</c:v>
                </c:pt>
                <c:pt idx="3">
                  <c:v>4.083828183028733E-17</c:v>
                </c:pt>
                <c:pt idx="4">
                  <c:v>1.3612760610095777E-17</c:v>
                </c:pt>
              </c:numCache>
            </c:numRef>
          </c:xVal>
          <c:yVal>
            <c:numRef>
              <c:f>Calcs!$Y$63:$Y$67</c:f>
              <c:numCache>
                <c:formatCode>0.00</c:formatCode>
                <c:ptCount val="5"/>
                <c:pt idx="0">
                  <c:v>-1</c:v>
                </c:pt>
                <c:pt idx="1">
                  <c:v>-0.77777777777777779</c:v>
                </c:pt>
                <c:pt idx="2">
                  <c:v>-0.55555555555555558</c:v>
                </c:pt>
                <c:pt idx="3">
                  <c:v>-0.33333333333333331</c:v>
                </c:pt>
                <c:pt idx="4">
                  <c:v>-0.1111111111111111</c:v>
                </c:pt>
              </c:numCache>
            </c:numRef>
          </c:yVal>
          <c:smooth val="0"/>
          <c:extLst>
            <c:ext xmlns:c16="http://schemas.microsoft.com/office/drawing/2014/chart" uri="{C3380CC4-5D6E-409C-BE32-E72D297353CC}">
              <c16:uniqueId val="{0000001D-3D17-2F4E-BB93-C961AA0D7183}"/>
            </c:ext>
          </c:extLst>
        </c:ser>
        <c:ser>
          <c:idx val="9"/>
          <c:order val="9"/>
          <c:tx>
            <c:v>AZ 210</c:v>
          </c:tx>
          <c:spPr>
            <a:ln w="25400" cap="rnd">
              <a:noFill/>
              <a:round/>
            </a:ln>
            <a:effectLst/>
          </c:spPr>
          <c:marker>
            <c:symbol val="x"/>
            <c:size val="5"/>
            <c:spPr>
              <a:noFill/>
              <a:ln w="9525">
                <a:solidFill>
                  <a:srgbClr val="FF0000"/>
                </a:solidFill>
              </a:ln>
              <a:effectLst/>
            </c:spPr>
          </c:marker>
          <c:xVal>
            <c:numRef>
              <c:f>Calcs!$Z$55:$Z$59</c:f>
              <c:numCache>
                <c:formatCode>0.00</c:formatCode>
                <c:ptCount val="5"/>
                <c:pt idx="0">
                  <c:v>-0.50000000000000011</c:v>
                </c:pt>
                <c:pt idx="1">
                  <c:v>-0.38888888888888901</c:v>
                </c:pt>
                <c:pt idx="2">
                  <c:v>-0.27777777777777785</c:v>
                </c:pt>
                <c:pt idx="3">
                  <c:v>-0.16666666666666669</c:v>
                </c:pt>
                <c:pt idx="4">
                  <c:v>-5.5555555555555566E-2</c:v>
                </c:pt>
              </c:numCache>
            </c:numRef>
          </c:xVal>
          <c:yVal>
            <c:numRef>
              <c:f>Calcs!$Z$63:$Z$67</c:f>
              <c:numCache>
                <c:formatCode>0.00</c:formatCode>
                <c:ptCount val="5"/>
                <c:pt idx="0">
                  <c:v>-0.8660254037844386</c:v>
                </c:pt>
                <c:pt idx="1">
                  <c:v>-0.67357531405456339</c:v>
                </c:pt>
                <c:pt idx="2">
                  <c:v>-0.48112522432468813</c:v>
                </c:pt>
                <c:pt idx="3">
                  <c:v>-0.28867513459481287</c:v>
                </c:pt>
                <c:pt idx="4">
                  <c:v>-9.6225044864937617E-2</c:v>
                </c:pt>
              </c:numCache>
            </c:numRef>
          </c:yVal>
          <c:smooth val="0"/>
          <c:extLst>
            <c:ext xmlns:c16="http://schemas.microsoft.com/office/drawing/2014/chart" uri="{C3380CC4-5D6E-409C-BE32-E72D297353CC}">
              <c16:uniqueId val="{0000001E-3D17-2F4E-BB93-C961AA0D7183}"/>
            </c:ext>
          </c:extLst>
        </c:ser>
        <c:ser>
          <c:idx val="10"/>
          <c:order val="10"/>
          <c:tx>
            <c:v>AZ 240</c:v>
          </c:tx>
          <c:spPr>
            <a:ln w="25400" cap="rnd">
              <a:noFill/>
              <a:round/>
            </a:ln>
            <a:effectLst/>
          </c:spPr>
          <c:marker>
            <c:symbol val="x"/>
            <c:size val="5"/>
            <c:spPr>
              <a:noFill/>
              <a:ln w="9525">
                <a:solidFill>
                  <a:srgbClr val="FF0000"/>
                </a:solidFill>
              </a:ln>
              <a:effectLst/>
            </c:spPr>
          </c:marker>
          <c:xVal>
            <c:numRef>
              <c:f>Calcs!$AA$55:$AA$59</c:f>
              <c:numCache>
                <c:formatCode>0.00</c:formatCode>
                <c:ptCount val="5"/>
                <c:pt idx="0">
                  <c:v>-0.86602540378443837</c:v>
                </c:pt>
                <c:pt idx="1">
                  <c:v>-0.67357531405456317</c:v>
                </c:pt>
                <c:pt idx="2">
                  <c:v>-0.48112522432468802</c:v>
                </c:pt>
                <c:pt idx="3">
                  <c:v>-0.28867513459481275</c:v>
                </c:pt>
                <c:pt idx="4">
                  <c:v>-9.6225044864937589E-2</c:v>
                </c:pt>
              </c:numCache>
            </c:numRef>
          </c:xVal>
          <c:yVal>
            <c:numRef>
              <c:f>Calcs!$AA$63:$AA$67</c:f>
              <c:numCache>
                <c:formatCode>0.00</c:formatCode>
                <c:ptCount val="5"/>
                <c:pt idx="0">
                  <c:v>-0.50000000000000044</c:v>
                </c:pt>
                <c:pt idx="1">
                  <c:v>-0.38888888888888923</c:v>
                </c:pt>
                <c:pt idx="2">
                  <c:v>-0.27777777777777801</c:v>
                </c:pt>
                <c:pt idx="3">
                  <c:v>-0.1666666666666668</c:v>
                </c:pt>
                <c:pt idx="4">
                  <c:v>-5.5555555555555601E-2</c:v>
                </c:pt>
              </c:numCache>
            </c:numRef>
          </c:yVal>
          <c:smooth val="0"/>
          <c:extLst>
            <c:ext xmlns:c16="http://schemas.microsoft.com/office/drawing/2014/chart" uri="{C3380CC4-5D6E-409C-BE32-E72D297353CC}">
              <c16:uniqueId val="{0000001F-3D17-2F4E-BB93-C961AA0D7183}"/>
            </c:ext>
          </c:extLst>
        </c:ser>
        <c:ser>
          <c:idx val="11"/>
          <c:order val="11"/>
          <c:tx>
            <c:v>AZ 270</c:v>
          </c:tx>
          <c:spPr>
            <a:ln w="25400" cap="rnd">
              <a:noFill/>
              <a:round/>
            </a:ln>
            <a:effectLst/>
          </c:spPr>
          <c:marker>
            <c:symbol val="x"/>
            <c:size val="5"/>
            <c:spPr>
              <a:noFill/>
              <a:ln w="9525">
                <a:solidFill>
                  <a:srgbClr val="FF0000"/>
                </a:solidFill>
              </a:ln>
              <a:effectLst/>
            </c:spPr>
          </c:marker>
          <c:xVal>
            <c:numRef>
              <c:f>Calcs!$AB$55:$AB$59</c:f>
              <c:numCache>
                <c:formatCode>0.00</c:formatCode>
                <c:ptCount val="5"/>
                <c:pt idx="0">
                  <c:v>-1</c:v>
                </c:pt>
                <c:pt idx="1">
                  <c:v>-0.77777777777777779</c:v>
                </c:pt>
                <c:pt idx="2">
                  <c:v>-0.55555555555555558</c:v>
                </c:pt>
                <c:pt idx="3">
                  <c:v>-0.33333333333333331</c:v>
                </c:pt>
                <c:pt idx="4">
                  <c:v>-0.1111111111111111</c:v>
                </c:pt>
              </c:numCache>
            </c:numRef>
          </c:xVal>
          <c:yVal>
            <c:numRef>
              <c:f>Calcs!$AB$63:$AB$67</c:f>
              <c:numCache>
                <c:formatCode>0.00</c:formatCode>
                <c:ptCount val="5"/>
                <c:pt idx="0">
                  <c:v>-1.83772268236293E-16</c:v>
                </c:pt>
                <c:pt idx="1">
                  <c:v>-1.4293398640600566E-16</c:v>
                </c:pt>
                <c:pt idx="2">
                  <c:v>-1.0209570457571834E-16</c:v>
                </c:pt>
                <c:pt idx="3">
                  <c:v>-6.1257422745431001E-17</c:v>
                </c:pt>
                <c:pt idx="4">
                  <c:v>-2.0419140915143665E-17</c:v>
                </c:pt>
              </c:numCache>
            </c:numRef>
          </c:yVal>
          <c:smooth val="0"/>
          <c:extLst>
            <c:ext xmlns:c16="http://schemas.microsoft.com/office/drawing/2014/chart" uri="{C3380CC4-5D6E-409C-BE32-E72D297353CC}">
              <c16:uniqueId val="{00000020-3D17-2F4E-BB93-C961AA0D7183}"/>
            </c:ext>
          </c:extLst>
        </c:ser>
        <c:ser>
          <c:idx val="12"/>
          <c:order val="12"/>
          <c:tx>
            <c:v>AZ 300</c:v>
          </c:tx>
          <c:spPr>
            <a:ln w="25400" cap="rnd">
              <a:noFill/>
              <a:round/>
            </a:ln>
            <a:effectLst/>
          </c:spPr>
          <c:marker>
            <c:symbol val="x"/>
            <c:size val="5"/>
            <c:spPr>
              <a:noFill/>
              <a:ln w="9525">
                <a:solidFill>
                  <a:srgbClr val="FF0000"/>
                </a:solidFill>
              </a:ln>
              <a:effectLst/>
            </c:spPr>
          </c:marker>
          <c:xVal>
            <c:numRef>
              <c:f>Calcs!$AC$55:$AC$59</c:f>
              <c:numCache>
                <c:formatCode>0.00</c:formatCode>
                <c:ptCount val="5"/>
                <c:pt idx="0">
                  <c:v>-0.8660254037844386</c:v>
                </c:pt>
                <c:pt idx="1">
                  <c:v>-0.67357531405456339</c:v>
                </c:pt>
                <c:pt idx="2">
                  <c:v>-0.48112522432468813</c:v>
                </c:pt>
                <c:pt idx="3">
                  <c:v>-0.28867513459481287</c:v>
                </c:pt>
                <c:pt idx="4">
                  <c:v>-9.6225044864937617E-2</c:v>
                </c:pt>
              </c:numCache>
            </c:numRef>
          </c:xVal>
          <c:yVal>
            <c:numRef>
              <c:f>Calcs!$AC$63:$AC$67</c:f>
              <c:numCache>
                <c:formatCode>0.00</c:formatCode>
                <c:ptCount val="5"/>
                <c:pt idx="0">
                  <c:v>0.50000000000000011</c:v>
                </c:pt>
                <c:pt idx="1">
                  <c:v>0.38888888888888901</c:v>
                </c:pt>
                <c:pt idx="2">
                  <c:v>0.27777777777777785</c:v>
                </c:pt>
                <c:pt idx="3">
                  <c:v>0.16666666666666669</c:v>
                </c:pt>
                <c:pt idx="4">
                  <c:v>5.5555555555555566E-2</c:v>
                </c:pt>
              </c:numCache>
            </c:numRef>
          </c:yVal>
          <c:smooth val="0"/>
          <c:extLst>
            <c:ext xmlns:c16="http://schemas.microsoft.com/office/drawing/2014/chart" uri="{C3380CC4-5D6E-409C-BE32-E72D297353CC}">
              <c16:uniqueId val="{00000021-3D17-2F4E-BB93-C961AA0D7183}"/>
            </c:ext>
          </c:extLst>
        </c:ser>
        <c:ser>
          <c:idx val="13"/>
          <c:order val="13"/>
          <c:tx>
            <c:v>AZ 330</c:v>
          </c:tx>
          <c:spPr>
            <a:ln w="25400" cap="rnd">
              <a:noFill/>
              <a:round/>
            </a:ln>
            <a:effectLst/>
          </c:spPr>
          <c:marker>
            <c:symbol val="x"/>
            <c:size val="5"/>
            <c:spPr>
              <a:noFill/>
              <a:ln w="9525">
                <a:solidFill>
                  <a:srgbClr val="FF0000"/>
                </a:solidFill>
              </a:ln>
              <a:effectLst/>
            </c:spPr>
          </c:marker>
          <c:xVal>
            <c:numRef>
              <c:f>Calcs!$AD$55:$AD$59</c:f>
              <c:numCache>
                <c:formatCode>0.00</c:formatCode>
                <c:ptCount val="5"/>
                <c:pt idx="0">
                  <c:v>-0.50000000000000044</c:v>
                </c:pt>
                <c:pt idx="1">
                  <c:v>-0.38888888888888923</c:v>
                </c:pt>
                <c:pt idx="2">
                  <c:v>-0.27777777777777801</c:v>
                </c:pt>
                <c:pt idx="3">
                  <c:v>-0.1666666666666668</c:v>
                </c:pt>
                <c:pt idx="4">
                  <c:v>-5.5555555555555601E-2</c:v>
                </c:pt>
              </c:numCache>
            </c:numRef>
          </c:xVal>
          <c:yVal>
            <c:numRef>
              <c:f>Calcs!$AD$63:$AD$67</c:f>
              <c:numCache>
                <c:formatCode>0.00</c:formatCode>
                <c:ptCount val="5"/>
                <c:pt idx="0">
                  <c:v>0.86602540378443837</c:v>
                </c:pt>
                <c:pt idx="1">
                  <c:v>0.67357531405456317</c:v>
                </c:pt>
                <c:pt idx="2">
                  <c:v>0.48112522432468802</c:v>
                </c:pt>
                <c:pt idx="3">
                  <c:v>0.28867513459481275</c:v>
                </c:pt>
                <c:pt idx="4">
                  <c:v>9.6225044864937589E-2</c:v>
                </c:pt>
              </c:numCache>
            </c:numRef>
          </c:yVal>
          <c:smooth val="0"/>
          <c:extLst>
            <c:ext xmlns:c16="http://schemas.microsoft.com/office/drawing/2014/chart" uri="{C3380CC4-5D6E-409C-BE32-E72D297353CC}">
              <c16:uniqueId val="{00000022-3D17-2F4E-BB93-C961AA0D7183}"/>
            </c:ext>
          </c:extLst>
        </c:ser>
        <c:ser>
          <c:idx val="14"/>
          <c:order val="14"/>
          <c:tx>
            <c:v>Cardinal Directions</c:v>
          </c:tx>
          <c:spPr>
            <a:ln w="25400" cap="rnd">
              <a:noFill/>
              <a:round/>
            </a:ln>
            <a:effectLst/>
          </c:spPr>
          <c:marker>
            <c:symbol val="none"/>
          </c:marker>
          <c:dLbls>
            <c:dLbl>
              <c:idx val="0"/>
              <c:tx>
                <c:rich>
                  <a:bodyPr/>
                  <a:lstStyle/>
                  <a:p>
                    <a:fld id="{FE523AA3-F634-8441-A9C8-84AA0209D2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3D17-2F4E-BB93-C961AA0D7183}"/>
                </c:ext>
              </c:extLst>
            </c:dLbl>
            <c:dLbl>
              <c:idx val="1"/>
              <c:tx>
                <c:rich>
                  <a:bodyPr/>
                  <a:lstStyle/>
                  <a:p>
                    <a:fld id="{15E186FB-8B38-F547-87A7-351C556B194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3D17-2F4E-BB93-C961AA0D7183}"/>
                </c:ext>
              </c:extLst>
            </c:dLbl>
            <c:dLbl>
              <c:idx val="2"/>
              <c:tx>
                <c:rich>
                  <a:bodyPr/>
                  <a:lstStyle/>
                  <a:p>
                    <a:fld id="{667BF11F-7F4D-3648-8486-E45AF06F12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3D17-2F4E-BB93-C961AA0D7183}"/>
                </c:ext>
              </c:extLst>
            </c:dLbl>
            <c:dLbl>
              <c:idx val="3"/>
              <c:tx>
                <c:rich>
                  <a:bodyPr/>
                  <a:lstStyle/>
                  <a:p>
                    <a:fld id="{20BC5E95-97C3-7545-923E-EE82EBA4425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3D17-2F4E-BB93-C961AA0D7183}"/>
                </c:ext>
              </c:extLst>
            </c:dLbl>
            <c:dLbl>
              <c:idx val="4"/>
              <c:tx>
                <c:rich>
                  <a:bodyPr/>
                  <a:lstStyle/>
                  <a:p>
                    <a:fld id="{9FC35B18-698B-D24C-8407-9CDDC07C373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3D17-2F4E-BB93-C961AA0D7183}"/>
                </c:ext>
              </c:extLst>
            </c:dLbl>
            <c:dLbl>
              <c:idx val="5"/>
              <c:tx>
                <c:rich>
                  <a:bodyPr/>
                  <a:lstStyle/>
                  <a:p>
                    <a:fld id="{EB5F59EE-F511-D34C-9BC1-EFFB392AC7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3D17-2F4E-BB93-C961AA0D7183}"/>
                </c:ext>
              </c:extLst>
            </c:dLbl>
            <c:dLbl>
              <c:idx val="6"/>
              <c:tx>
                <c:rich>
                  <a:bodyPr/>
                  <a:lstStyle/>
                  <a:p>
                    <a:fld id="{7921B96F-B690-CC41-BB3D-2BE864BCE7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3D17-2F4E-BB93-C961AA0D7183}"/>
                </c:ext>
              </c:extLst>
            </c:dLbl>
            <c:dLbl>
              <c:idx val="7"/>
              <c:tx>
                <c:rich>
                  <a:bodyPr/>
                  <a:lstStyle/>
                  <a:p>
                    <a:fld id="{B34A00DE-D890-EF4C-A65A-DC9A9C6C49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3D17-2F4E-BB93-C961AA0D7183}"/>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Calcs!$O$55:$O$62</c:f>
              <c:numCache>
                <c:formatCode>0.00</c:formatCode>
                <c:ptCount val="8"/>
                <c:pt idx="0">
                  <c:v>0</c:v>
                </c:pt>
                <c:pt idx="1">
                  <c:v>-0.7778174593052023</c:v>
                </c:pt>
                <c:pt idx="2">
                  <c:v>-1.1000000000000001</c:v>
                </c:pt>
                <c:pt idx="3">
                  <c:v>-0.77781745930520241</c:v>
                </c:pt>
                <c:pt idx="4">
                  <c:v>-1.347663300399482E-16</c:v>
                </c:pt>
                <c:pt idx="5">
                  <c:v>0.7778174593052023</c:v>
                </c:pt>
                <c:pt idx="6">
                  <c:v>1.1000000000000001</c:v>
                </c:pt>
                <c:pt idx="7">
                  <c:v>0.77781745930520252</c:v>
                </c:pt>
              </c:numCache>
            </c:numRef>
          </c:xVal>
          <c:yVal>
            <c:numRef>
              <c:f>Calcs!$P$55:$P$62</c:f>
              <c:numCache>
                <c:formatCode>0.00</c:formatCode>
                <c:ptCount val="8"/>
                <c:pt idx="0">
                  <c:v>1.1000000000000001</c:v>
                </c:pt>
                <c:pt idx="1">
                  <c:v>0.77781745930520241</c:v>
                </c:pt>
                <c:pt idx="2">
                  <c:v>6.7383165019974101E-17</c:v>
                </c:pt>
                <c:pt idx="3">
                  <c:v>-0.7778174593052023</c:v>
                </c:pt>
                <c:pt idx="4">
                  <c:v>-1.1000000000000001</c:v>
                </c:pt>
                <c:pt idx="5">
                  <c:v>-0.77781745930520252</c:v>
                </c:pt>
                <c:pt idx="6">
                  <c:v>-2.0214949505992233E-16</c:v>
                </c:pt>
                <c:pt idx="7">
                  <c:v>0.77781745930520219</c:v>
                </c:pt>
              </c:numCache>
            </c:numRef>
          </c:yVal>
          <c:smooth val="0"/>
          <c:extLst>
            <c:ext xmlns:c15="http://schemas.microsoft.com/office/drawing/2012/chart" uri="{02D57815-91ED-43cb-92C2-25804820EDAC}">
              <c15:datalabelsRange>
                <c15:f>Calcs!$M$55:$M$62</c15:f>
                <c15:dlblRangeCache>
                  <c:ptCount val="8"/>
                  <c:pt idx="0">
                    <c:v>N</c:v>
                  </c:pt>
                  <c:pt idx="1">
                    <c:v>NE</c:v>
                  </c:pt>
                  <c:pt idx="2">
                    <c:v>E</c:v>
                  </c:pt>
                  <c:pt idx="3">
                    <c:v>SE</c:v>
                  </c:pt>
                  <c:pt idx="4">
                    <c:v>S</c:v>
                  </c:pt>
                  <c:pt idx="5">
                    <c:v>SW</c:v>
                  </c:pt>
                  <c:pt idx="6">
                    <c:v>W</c:v>
                  </c:pt>
                  <c:pt idx="7">
                    <c:v>NW</c:v>
                  </c:pt>
                </c15:dlblRangeCache>
              </c15:datalabelsRange>
            </c:ext>
            <c:ext xmlns:c16="http://schemas.microsoft.com/office/drawing/2014/chart" uri="{C3380CC4-5D6E-409C-BE32-E72D297353CC}">
              <c16:uniqueId val="{0000002B-3D17-2F4E-BB93-C961AA0D7183}"/>
            </c:ext>
          </c:extLst>
        </c:ser>
        <c:ser>
          <c:idx val="15"/>
          <c:order val="15"/>
          <c:tx>
            <c:v>Gal Plane</c:v>
          </c:tx>
          <c:spPr>
            <a:ln w="19050" cap="rnd">
              <a:solidFill>
                <a:schemeClr val="bg1">
                  <a:lumMod val="50000"/>
                  <a:alpha val="55000"/>
                </a:schemeClr>
              </a:solidFill>
              <a:prstDash val="dash"/>
              <a:round/>
            </a:ln>
            <a:effectLst/>
          </c:spPr>
          <c:marker>
            <c:symbol val="none"/>
          </c:marker>
          <c:xVal>
            <c:numRef>
              <c:f>LBC!$BC$42:$BC$54</c:f>
              <c:numCache>
                <c:formatCode>0.00</c:formatCode>
                <c:ptCount val="13"/>
                <c:pt idx="0">
                  <c:v>7.9184372434428232E-2</c:v>
                </c:pt>
                <c:pt idx="1">
                  <c:v>-0.41517955103847809</c:v>
                </c:pt>
                <c:pt idx="2">
                  <c:v>#N/A</c:v>
                </c:pt>
                <c:pt idx="3">
                  <c:v>#N/A</c:v>
                </c:pt>
                <c:pt idx="4">
                  <c:v>#N/A</c:v>
                </c:pt>
                <c:pt idx="5">
                  <c:v>#N/A</c:v>
                </c:pt>
                <c:pt idx="6">
                  <c:v>#N/A</c:v>
                </c:pt>
                <c:pt idx="7">
                  <c:v>#N/A</c:v>
                </c:pt>
                <c:pt idx="8">
                  <c:v>0.76880848709540495</c:v>
                </c:pt>
                <c:pt idx="9">
                  <c:v>0.89590170555020388</c:v>
                </c:pt>
                <c:pt idx="10">
                  <c:v>0.8005687409462513</c:v>
                </c:pt>
                <c:pt idx="11">
                  <c:v>0.51113243884845605</c:v>
                </c:pt>
                <c:pt idx="12">
                  <c:v>7.9184372434428232E-2</c:v>
                </c:pt>
              </c:numCache>
            </c:numRef>
          </c:xVal>
          <c:yVal>
            <c:numRef>
              <c:f>LBC!$BD$42:$BD$54</c:f>
              <c:numCache>
                <c:formatCode>0.00</c:formatCode>
                <c:ptCount val="13"/>
                <c:pt idx="0">
                  <c:v>0.9305125041044453</c:v>
                </c:pt>
                <c:pt idx="1">
                  <c:v>0.90135157704151547</c:v>
                </c:pt>
                <c:pt idx="2">
                  <c:v>#N/A</c:v>
                </c:pt>
                <c:pt idx="3">
                  <c:v>#N/A</c:v>
                </c:pt>
                <c:pt idx="4">
                  <c:v>#N/A</c:v>
                </c:pt>
                <c:pt idx="5">
                  <c:v>#N/A</c:v>
                </c:pt>
                <c:pt idx="6">
                  <c:v>#N/A</c:v>
                </c:pt>
                <c:pt idx="7">
                  <c:v>#N/A</c:v>
                </c:pt>
                <c:pt idx="8">
                  <c:v>-0.55317927946000434</c:v>
                </c:pt>
                <c:pt idx="9">
                  <c:v>-9.1081993153943622E-2</c:v>
                </c:pt>
                <c:pt idx="10">
                  <c:v>0.36655148837354429</c:v>
                </c:pt>
                <c:pt idx="11">
                  <c:v>0.73200001904580625</c:v>
                </c:pt>
                <c:pt idx="12">
                  <c:v>0.9305125041044453</c:v>
                </c:pt>
              </c:numCache>
            </c:numRef>
          </c:yVal>
          <c:smooth val="1"/>
          <c:extLst>
            <c:ext xmlns:c16="http://schemas.microsoft.com/office/drawing/2014/chart" uri="{C3380CC4-5D6E-409C-BE32-E72D297353CC}">
              <c16:uniqueId val="{0000002C-3D17-2F4E-BB93-C961AA0D7183}"/>
            </c:ext>
          </c:extLst>
        </c:ser>
        <c:ser>
          <c:idx val="16"/>
          <c:order val="16"/>
          <c:tx>
            <c:v>Gal Cent</c:v>
          </c:tx>
          <c:spPr>
            <a:ln w="25400" cap="rnd">
              <a:noFill/>
              <a:round/>
            </a:ln>
            <a:effectLst/>
          </c:spPr>
          <c:marker>
            <c:symbol val="none"/>
          </c:marker>
          <c:dLbls>
            <c:dLbl>
              <c:idx val="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D-3D17-2F4E-BB93-C961AA0D718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LBC!$BC$56</c:f>
              <c:numCache>
                <c:formatCode>0.00</c:formatCode>
                <c:ptCount val="1"/>
                <c:pt idx="0">
                  <c:v>#N/A</c:v>
                </c:pt>
              </c:numCache>
            </c:numRef>
          </c:xVal>
          <c:yVal>
            <c:numRef>
              <c:f>LBC!$BD$56</c:f>
              <c:numCache>
                <c:formatCode>0.00</c:formatCode>
                <c:ptCount val="1"/>
                <c:pt idx="0">
                  <c:v>#N/A</c:v>
                </c:pt>
              </c:numCache>
            </c:numRef>
          </c:yVal>
          <c:smooth val="0"/>
          <c:extLst>
            <c:ext xmlns:c15="http://schemas.microsoft.com/office/drawing/2012/chart" uri="{02D57815-91ED-43cb-92C2-25804820EDAC}">
              <c15:datalabelsRange>
                <c15:f>LBC!$AY$56</c15:f>
                <c15:dlblRangeCache>
                  <c:ptCount val="1"/>
                  <c:pt idx="0">
                    <c:v>GC</c:v>
                  </c:pt>
                </c15:dlblRangeCache>
              </c15:datalabelsRange>
            </c:ext>
            <c:ext xmlns:c16="http://schemas.microsoft.com/office/drawing/2014/chart" uri="{C3380CC4-5D6E-409C-BE32-E72D297353CC}">
              <c16:uniqueId val="{0000002E-3D17-2F4E-BB93-C961AA0D7183}"/>
            </c:ext>
          </c:extLst>
        </c:ser>
        <c:ser>
          <c:idx val="17"/>
          <c:order val="17"/>
          <c:tx>
            <c:v>MODS UT=</c:v>
          </c:tx>
          <c:spPr>
            <a:ln w="25400" cap="rnd">
              <a:noFill/>
              <a:round/>
            </a:ln>
            <a:effectLst/>
          </c:spPr>
          <c:marker>
            <c:symbol val="none"/>
          </c:marker>
          <c:dLbls>
            <c:dLbl>
              <c:idx val="0"/>
              <c:tx>
                <c:rich>
                  <a:bodyPr/>
                  <a:lstStyle/>
                  <a:p>
                    <a:fld id="{B1EFF3BB-ECD8-5444-A483-8D975E7328D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3D17-2F4E-BB93-C961AA0D7183}"/>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LBC!$BF$46</c:f>
              <c:numCache>
                <c:formatCode>General</c:formatCode>
                <c:ptCount val="1"/>
                <c:pt idx="0">
                  <c:v>0.7</c:v>
                </c:pt>
              </c:numCache>
            </c:numRef>
          </c:xVal>
          <c:yVal>
            <c:numRef>
              <c:f>LBC!$BG$46</c:f>
              <c:numCache>
                <c:formatCode>General</c:formatCode>
                <c:ptCount val="1"/>
                <c:pt idx="0">
                  <c:v>1.08</c:v>
                </c:pt>
              </c:numCache>
            </c:numRef>
          </c:yVal>
          <c:smooth val="0"/>
          <c:extLst>
            <c:ext xmlns:c15="http://schemas.microsoft.com/office/drawing/2012/chart" uri="{02D57815-91ED-43cb-92C2-25804820EDAC}">
              <c15:datalabelsRange>
                <c15:f>LBC!$BH$42</c15:f>
                <c15:dlblRangeCache>
                  <c:ptCount val="1"/>
                  <c:pt idx="0">
                    <c:v>LBC, UT=</c:v>
                  </c:pt>
                </c15:dlblRangeCache>
              </c15:datalabelsRange>
            </c:ext>
            <c:ext xmlns:c16="http://schemas.microsoft.com/office/drawing/2014/chart" uri="{C3380CC4-5D6E-409C-BE32-E72D297353CC}">
              <c16:uniqueId val="{00000030-3D17-2F4E-BB93-C961AA0D7183}"/>
            </c:ext>
          </c:extLst>
        </c:ser>
        <c:ser>
          <c:idx val="18"/>
          <c:order val="18"/>
          <c:tx>
            <c:v>UT</c:v>
          </c:tx>
          <c:spPr>
            <a:ln w="25400" cap="rnd">
              <a:noFill/>
              <a:round/>
            </a:ln>
            <a:effectLst/>
          </c:spPr>
          <c:marker>
            <c:symbol val="none"/>
          </c:marker>
          <c:dLbls>
            <c:dLbl>
              <c:idx val="0"/>
              <c:tx>
                <c:rich>
                  <a:bodyPr/>
                  <a:lstStyle/>
                  <a:p>
                    <a:fld id="{02E98EB4-1148-9441-93AD-096D32C6F23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3D17-2F4E-BB93-C961AA0D7183}"/>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LBC!$BF$47</c:f>
              <c:numCache>
                <c:formatCode>General</c:formatCode>
                <c:ptCount val="1"/>
                <c:pt idx="0">
                  <c:v>0.98</c:v>
                </c:pt>
              </c:numCache>
            </c:numRef>
          </c:xVal>
          <c:yVal>
            <c:numRef>
              <c:f>LBC!$BG$47</c:f>
              <c:numCache>
                <c:formatCode>General</c:formatCode>
                <c:ptCount val="1"/>
                <c:pt idx="0">
                  <c:v>1.08</c:v>
                </c:pt>
              </c:numCache>
            </c:numRef>
          </c:yVal>
          <c:smooth val="0"/>
          <c:extLst>
            <c:ext xmlns:c15="http://schemas.microsoft.com/office/drawing/2012/chart" uri="{02D57815-91ED-43cb-92C2-25804820EDAC}">
              <c15:datalabelsRange>
                <c15:f>LBC!$BH$43</c15:f>
                <c15:dlblRangeCache>
                  <c:ptCount val="1"/>
                  <c:pt idx="0">
                    <c:v>9.00</c:v>
                  </c:pt>
                </c15:dlblRangeCache>
              </c15:datalabelsRange>
            </c:ext>
            <c:ext xmlns:c16="http://schemas.microsoft.com/office/drawing/2014/chart" uri="{C3380CC4-5D6E-409C-BE32-E72D297353CC}">
              <c16:uniqueId val="{00000032-3D17-2F4E-BB93-C961AA0D7183}"/>
            </c:ext>
          </c:extLst>
        </c:ser>
        <c:ser>
          <c:idx val="19"/>
          <c:order val="19"/>
          <c:tx>
            <c:v>Title</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fld id="{51E7EB3A-1CD0-2F44-A4BB-6128FF55F593}" type="CELLRANGE">
                      <a:rPr lang="en-US">
                        <a:solidFill>
                          <a:schemeClr val="tx1">
                            <a:lumMod val="65000"/>
                            <a:lumOff val="35000"/>
                          </a:schemeClr>
                        </a:solidFill>
                      </a:rPr>
                      <a:pPr>
                        <a:defRPr sz="2000">
                          <a:solidFill>
                            <a:schemeClr val="tx1">
                              <a:lumMod val="65000"/>
                              <a:lumOff val="35000"/>
                            </a:schemeClr>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manualLayout>
                      <c:w val="0.25197806077008444"/>
                      <c:h val="8.2231745026285233E-2"/>
                    </c:manualLayout>
                  </c15:layout>
                  <c15:dlblFieldTable/>
                  <c15:showDataLabelsRange val="1"/>
                </c:ext>
                <c:ext xmlns:c16="http://schemas.microsoft.com/office/drawing/2014/chart" uri="{C3380CC4-5D6E-409C-BE32-E72D297353CC}">
                  <c16:uniqueId val="{00000033-3D17-2F4E-BB93-C961AA0D7183}"/>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Calcs!$M$64</c:f>
              <c:numCache>
                <c:formatCode>General</c:formatCode>
                <c:ptCount val="1"/>
                <c:pt idx="0">
                  <c:v>-0.9</c:v>
                </c:pt>
              </c:numCache>
            </c:numRef>
          </c:xVal>
          <c:yVal>
            <c:numRef>
              <c:f>Calcs!$N$64</c:f>
              <c:numCache>
                <c:formatCode>General</c:formatCode>
                <c:ptCount val="1"/>
                <c:pt idx="0">
                  <c:v>1.08</c:v>
                </c:pt>
              </c:numCache>
            </c:numRef>
          </c:yVal>
          <c:smooth val="0"/>
          <c:extLst>
            <c:ext xmlns:c15="http://schemas.microsoft.com/office/drawing/2012/chart" uri="{02D57815-91ED-43cb-92C2-25804820EDAC}">
              <c15:datalabelsRange>
                <c15:f>Calcs!$O$64</c15:f>
                <c15:dlblRangeCache>
                  <c:ptCount val="1"/>
                  <c:pt idx="0">
                    <c:v>All-sky Camera</c:v>
                  </c:pt>
                </c15:dlblRangeCache>
              </c15:datalabelsRange>
            </c:ext>
            <c:ext xmlns:c16="http://schemas.microsoft.com/office/drawing/2014/chart" uri="{C3380CC4-5D6E-409C-BE32-E72D297353CC}">
              <c16:uniqueId val="{00000034-3D17-2F4E-BB93-C961AA0D7183}"/>
            </c:ext>
          </c:extLst>
        </c:ser>
        <c:ser>
          <c:idx val="20"/>
          <c:order val="20"/>
          <c:tx>
            <c:v>NCP</c:v>
          </c:tx>
          <c:spPr>
            <a:ln w="25400" cap="rnd">
              <a:noFill/>
              <a:round/>
            </a:ln>
            <a:effectLst/>
          </c:spPr>
          <c:marker>
            <c:symbol val="none"/>
          </c:marker>
          <c:dLbls>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fld id="{AA9A4F76-09BE-2F45-90F6-2FB68868367F}" type="CELLRANGE">
                      <a:rPr lang="en-US"/>
                      <a:pPr>
                        <a:defRPr sz="1000">
                          <a:solidFill>
                            <a:schemeClr val="tx1">
                              <a:lumMod val="50000"/>
                              <a:lumOff val="50000"/>
                            </a:schemeClr>
                          </a:solidFill>
                        </a:defRPr>
                      </a:pPr>
                      <a:t>[CELLRANGE]</a:t>
                    </a:fld>
                    <a:endParaRPr lang="en-US"/>
                  </a:p>
                </c:rich>
              </c:tx>
              <c:spPr>
                <a:no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3D17-2F4E-BB93-C961AA0D7183}"/>
                </c:ext>
              </c:extLst>
            </c:dLbl>
            <c:spPr>
              <a:noFill/>
              <a:ln>
                <a:solidFill>
                  <a:schemeClr val="tx1">
                    <a:lumMod val="50000"/>
                    <a:lumOff val="50000"/>
                  </a:scheme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Calcs!$M$65</c:f>
              <c:numCache>
                <c:formatCode>General</c:formatCode>
                <c:ptCount val="1"/>
                <c:pt idx="0">
                  <c:v>0</c:v>
                </c:pt>
              </c:numCache>
            </c:numRef>
          </c:xVal>
          <c:yVal>
            <c:numRef>
              <c:f>Calcs!$N$65</c:f>
              <c:numCache>
                <c:formatCode>0.00</c:formatCode>
                <c:ptCount val="1"/>
                <c:pt idx="0">
                  <c:v>0.6366666666666666</c:v>
                </c:pt>
              </c:numCache>
            </c:numRef>
          </c:yVal>
          <c:smooth val="0"/>
          <c:extLst>
            <c:ext xmlns:c15="http://schemas.microsoft.com/office/drawing/2012/chart" uri="{02D57815-91ED-43cb-92C2-25804820EDAC}">
              <c15:datalabelsRange>
                <c15:f>Calcs!$O$65</c15:f>
                <c15:dlblRangeCache>
                  <c:ptCount val="1"/>
                  <c:pt idx="0">
                    <c:v>NCP</c:v>
                  </c:pt>
                </c15:dlblRangeCache>
              </c15:datalabelsRange>
            </c:ext>
            <c:ext xmlns:c16="http://schemas.microsoft.com/office/drawing/2014/chart" uri="{C3380CC4-5D6E-409C-BE32-E72D297353CC}">
              <c16:uniqueId val="{00000036-3D17-2F4E-BB93-C961AA0D7183}"/>
            </c:ext>
          </c:extLst>
        </c:ser>
        <c:ser>
          <c:idx val="21"/>
          <c:order val="21"/>
          <c:tx>
            <c:v>Meridian</c:v>
          </c:tx>
          <c:spPr>
            <a:ln w="15875" cap="rnd">
              <a:solidFill>
                <a:srgbClr val="FF0000">
                  <a:alpha val="34000"/>
                </a:srgbClr>
              </a:solidFill>
              <a:prstDash val="lgDash"/>
              <a:round/>
            </a:ln>
            <a:effectLst/>
          </c:spPr>
          <c:marker>
            <c:symbol val="none"/>
          </c:marker>
          <c:dLbls>
            <c:dLbl>
              <c:idx val="0"/>
              <c:tx>
                <c:rich>
                  <a:bodyPr/>
                  <a:lstStyle/>
                  <a:p>
                    <a:fld id="{1FF9DE42-2AA2-C74D-A819-8104BB55664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E1D-3245-8458-D463F120697F}"/>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E1D-3245-8458-D463F120697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Calcs!$M$66:$M$67</c:f>
              <c:numCache>
                <c:formatCode>General</c:formatCode>
                <c:ptCount val="2"/>
                <c:pt idx="0">
                  <c:v>0</c:v>
                </c:pt>
                <c:pt idx="1">
                  <c:v>0</c:v>
                </c:pt>
              </c:numCache>
            </c:numRef>
          </c:xVal>
          <c:yVal>
            <c:numRef>
              <c:f>Calcs!$N$66:$N$67</c:f>
              <c:numCache>
                <c:formatCode>General</c:formatCode>
                <c:ptCount val="2"/>
                <c:pt idx="0">
                  <c:v>-1</c:v>
                </c:pt>
                <c:pt idx="1">
                  <c:v>1</c:v>
                </c:pt>
              </c:numCache>
            </c:numRef>
          </c:yVal>
          <c:smooth val="0"/>
          <c:extLst>
            <c:ext xmlns:c15="http://schemas.microsoft.com/office/drawing/2012/chart" uri="{02D57815-91ED-43cb-92C2-25804820EDAC}">
              <c15:datalabelsRange>
                <c15:f>Calcs!$O$66</c15:f>
                <c15:dlblRangeCache>
                  <c:ptCount val="1"/>
                  <c:pt idx="0">
                    <c:v>Meridian</c:v>
                  </c:pt>
                </c15:dlblRangeCache>
              </c15:datalabelsRange>
            </c:ext>
            <c:ext xmlns:c16="http://schemas.microsoft.com/office/drawing/2014/chart" uri="{C3380CC4-5D6E-409C-BE32-E72D297353CC}">
              <c16:uniqueId val="{00000037-3D17-2F4E-BB93-C961AA0D7183}"/>
            </c:ext>
          </c:extLst>
        </c:ser>
        <c:ser>
          <c:idx val="22"/>
          <c:order val="22"/>
          <c:tx>
            <c:v>Date</c:v>
          </c:tx>
          <c:spPr>
            <a:ln w="25400" cap="rnd">
              <a:noFill/>
              <a:round/>
            </a:ln>
            <a:effectLst/>
          </c:spPr>
          <c:marker>
            <c:symbol val="none"/>
          </c:marker>
          <c:dLbls>
            <c:dLbl>
              <c:idx val="0"/>
              <c:tx>
                <c:rich>
                  <a:bodyPr/>
                  <a:lstStyle/>
                  <a:p>
                    <a:fld id="{406A850A-DFCE-2344-8016-6908209CAE0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E1D-3245-8458-D463F120697F}"/>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Calcs!$S$22</c:f>
              <c:numCache>
                <c:formatCode>General</c:formatCode>
                <c:ptCount val="1"/>
                <c:pt idx="0">
                  <c:v>0.9</c:v>
                </c:pt>
              </c:numCache>
            </c:numRef>
          </c:xVal>
          <c:yVal>
            <c:numRef>
              <c:f>Calcs!$T$22</c:f>
              <c:numCache>
                <c:formatCode>General</c:formatCode>
                <c:ptCount val="1"/>
                <c:pt idx="0">
                  <c:v>0.95</c:v>
                </c:pt>
              </c:numCache>
            </c:numRef>
          </c:yVal>
          <c:smooth val="0"/>
          <c:extLst>
            <c:ext xmlns:c15="http://schemas.microsoft.com/office/drawing/2012/chart" uri="{02D57815-91ED-43cb-92C2-25804820EDAC}">
              <c15:datalabelsRange>
                <c15:f>Calcs!$U$21</c15:f>
                <c15:dlblRangeCache>
                  <c:ptCount val="1"/>
                  <c:pt idx="0">
                    <c:v>2/27/2025</c:v>
                  </c:pt>
                </c15:dlblRangeCache>
              </c15:datalabelsRange>
            </c:ext>
            <c:ext xmlns:c16="http://schemas.microsoft.com/office/drawing/2014/chart" uri="{C3380CC4-5D6E-409C-BE32-E72D297353CC}">
              <c16:uniqueId val="{00000002-8E1D-3245-8458-D463F120697F}"/>
            </c:ext>
          </c:extLst>
        </c:ser>
        <c:dLbls>
          <c:showLegendKey val="0"/>
          <c:showVal val="0"/>
          <c:showCatName val="0"/>
          <c:showSerName val="0"/>
          <c:showPercent val="0"/>
          <c:showBubbleSize val="0"/>
        </c:dLbls>
        <c:axId val="1866022943"/>
        <c:axId val="150038976"/>
      </c:scatterChart>
      <c:valAx>
        <c:axId val="1866022943"/>
        <c:scaling>
          <c:orientation val="minMax"/>
          <c:max val="1.2"/>
          <c:min val="-1.2"/>
        </c:scaling>
        <c:delete val="1"/>
        <c:axPos val="b"/>
        <c:numFmt formatCode="0.00" sourceLinked="1"/>
        <c:majorTickMark val="none"/>
        <c:minorTickMark val="none"/>
        <c:tickLblPos val="low"/>
        <c:crossAx val="150038976"/>
        <c:crosses val="autoZero"/>
        <c:crossBetween val="midCat"/>
      </c:valAx>
      <c:valAx>
        <c:axId val="150038976"/>
        <c:scaling>
          <c:orientation val="minMax"/>
          <c:max val="1.2"/>
          <c:min val="-1.2"/>
        </c:scaling>
        <c:delete val="1"/>
        <c:axPos val="l"/>
        <c:numFmt formatCode="0.00" sourceLinked="1"/>
        <c:majorTickMark val="none"/>
        <c:minorTickMark val="none"/>
        <c:tickLblPos val="low"/>
        <c:crossAx val="1866022943"/>
        <c:crosses val="autoZero"/>
        <c:crossBetween val="midCat"/>
      </c:valAx>
      <c:spPr>
        <a:gradFill flip="none" rotWithShape="1">
          <a:gsLst>
            <a:gs pos="39000">
              <a:schemeClr val="bg1"/>
            </a:gs>
            <a:gs pos="0">
              <a:schemeClr val="bg1"/>
            </a:gs>
            <a:gs pos="42000">
              <a:schemeClr val="accent4">
                <a:alpha val="69719"/>
                <a:lumMod val="64000"/>
                <a:lumOff val="36000"/>
              </a:schemeClr>
            </a:gs>
            <a:gs pos="61000">
              <a:schemeClr val="bg1">
                <a:lumMod val="85000"/>
              </a:schemeClr>
            </a:gs>
            <a:gs pos="59000">
              <a:schemeClr val="accent4">
                <a:lumMod val="75000"/>
                <a:alpha val="56000"/>
              </a:schemeClr>
            </a:gs>
          </a:gsLst>
          <a:path path="circle">
            <a:fillToRect l="50000" t="50000" r="50000" b="50000"/>
          </a:path>
          <a:tileRect/>
        </a:gradFill>
        <a:ln w="15875">
          <a:solidFill>
            <a:srgbClr val="FF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15803</xdr:colOff>
      <xdr:row>63</xdr:row>
      <xdr:rowOff>12665</xdr:rowOff>
    </xdr:from>
    <xdr:to>
      <xdr:col>9</xdr:col>
      <xdr:colOff>233561</xdr:colOff>
      <xdr:row>74</xdr:row>
      <xdr:rowOff>32167</xdr:rowOff>
    </xdr:to>
    <xdr:sp macro="" textlink="">
      <xdr:nvSpPr>
        <xdr:cNvPr id="2" name="TextBox 1">
          <a:extLst>
            <a:ext uri="{FF2B5EF4-FFF2-40B4-BE49-F238E27FC236}">
              <a16:creationId xmlns:a16="http://schemas.microsoft.com/office/drawing/2014/main" id="{B2E81456-A688-6C44-8FBB-76395821350E}"/>
            </a:ext>
          </a:extLst>
        </xdr:cNvPr>
        <xdr:cNvSpPr txBox="1"/>
      </xdr:nvSpPr>
      <xdr:spPr>
        <a:xfrm>
          <a:off x="846188" y="13035050"/>
          <a:ext cx="6860835" cy="2276194"/>
        </a:xfrm>
        <a:prstGeom prst="rect">
          <a:avLst/>
        </a:prstGeom>
        <a:solidFill>
          <a:schemeClr val="lt1"/>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rgbClr val="FF0000"/>
              </a:solidFill>
            </a:rPr>
            <a:t>To label points in Excel</a:t>
          </a:r>
          <a:r>
            <a:rPr lang="en-US" sz="1100"/>
            <a:t>:</a:t>
          </a:r>
        </a:p>
        <a:p>
          <a:r>
            <a:rPr lang="en-US" sz="1100"/>
            <a:t>I found this to be a bit tricky. If the plotting gets</a:t>
          </a:r>
          <a:r>
            <a:rPr lang="en-US" sz="1100" baseline="0"/>
            <a:t> screwed up, you may need to redo the object (and exposure) labels. Here's how to do it:</a:t>
          </a:r>
        </a:p>
        <a:p>
          <a:r>
            <a:rPr lang="en-US" sz="1100" baseline="0"/>
            <a:t>	</a:t>
          </a:r>
          <a:r>
            <a:rPr lang="en-US" sz="1100"/>
            <a:t>Ctrl-click on data points</a:t>
          </a:r>
          <a:r>
            <a:rPr lang="en-US" sz="1100" baseline="0"/>
            <a:t> --&gt; </a:t>
          </a:r>
          <a:r>
            <a:rPr lang="en-US" sz="1100"/>
            <a:t>Add Data Labels --&gt; Format Data Labels.</a:t>
          </a:r>
        </a:p>
        <a:p>
          <a:r>
            <a:rPr lang="en-US" sz="1100"/>
            <a:t>	Then turn off "y", turn on </a:t>
          </a:r>
          <a:r>
            <a:rPr lang="en-US" sz="1100" baseline="0"/>
            <a:t> "Values from Cells" and enter name column.</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Turn off </a:t>
          </a:r>
          <a:r>
            <a:rPr lang="en-US" sz="1100"/>
            <a:t> "leader lines"</a:t>
          </a:r>
          <a:endParaRPr lang="en-US" sz="1100" baseline="0"/>
        </a:p>
        <a:p>
          <a:r>
            <a:rPr lang="en-US" sz="1100" baseline="0"/>
            <a:t>	Then "center" (or "above" for exposures)</a:t>
          </a:r>
        </a:p>
        <a:p>
          <a:endParaRPr lang="en-US" sz="1100" baseline="0"/>
        </a:p>
        <a:p>
          <a:r>
            <a:rPr lang="en-US" sz="1100" baseline="0"/>
            <a:t>You can adjust the font/color of the labels (e.g. for priorities).</a:t>
          </a:r>
        </a:p>
        <a:p>
          <a:r>
            <a:rPr lang="en-US" sz="1100" baseline="0"/>
            <a:t>You can  rotate the labels (Format Data Labels --&gt; Label Options --&gt;  Alignment --&gt; 270 for vertical) .</a:t>
          </a:r>
        </a:p>
        <a:p>
          <a:r>
            <a:rPr lang="en-US" sz="1100" baseline="0"/>
            <a:t>To access a series that's hidden beneath others: "Format", Select Series drop down; click on desired series; "Chart Design"; Add Labels to right; now click on these and edit attributes. </a:t>
          </a:r>
          <a:endParaRPr lang="en-US" sz="1100"/>
        </a:p>
        <a:p>
          <a:endParaRPr lang="en-US" sz="1100"/>
        </a:p>
      </xdr:txBody>
    </xdr:sp>
    <xdr:clientData/>
  </xdr:twoCellAnchor>
  <xdr:twoCellAnchor>
    <xdr:from>
      <xdr:col>1</xdr:col>
      <xdr:colOff>14557</xdr:colOff>
      <xdr:row>1</xdr:row>
      <xdr:rowOff>799</xdr:rowOff>
    </xdr:from>
    <xdr:to>
      <xdr:col>9</xdr:col>
      <xdr:colOff>282222</xdr:colOff>
      <xdr:row>59</xdr:row>
      <xdr:rowOff>9769</xdr:rowOff>
    </xdr:to>
    <xdr:sp macro="" textlink="">
      <xdr:nvSpPr>
        <xdr:cNvPr id="3" name="TextBox 2">
          <a:extLst>
            <a:ext uri="{FF2B5EF4-FFF2-40B4-BE49-F238E27FC236}">
              <a16:creationId xmlns:a16="http://schemas.microsoft.com/office/drawing/2014/main" id="{8E00557C-09E1-DE45-91FB-8754CC9ECDA7}"/>
            </a:ext>
          </a:extLst>
        </xdr:cNvPr>
        <xdr:cNvSpPr txBox="1"/>
      </xdr:nvSpPr>
      <xdr:spPr>
        <a:xfrm>
          <a:off x="844942" y="215722"/>
          <a:ext cx="6910742" cy="11995816"/>
        </a:xfrm>
        <a:prstGeom prst="rect">
          <a:avLst/>
        </a:prstGeom>
        <a:solidFill>
          <a:schemeClr val="lt1"/>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FF0000"/>
              </a:solidFill>
            </a:rPr>
            <a:t>Instructions:</a:t>
          </a:r>
        </a:p>
        <a:p>
          <a:endParaRPr lang="en-US" sz="1100"/>
        </a:p>
        <a:p>
          <a:r>
            <a:rPr lang="en-US" sz="1100"/>
            <a:t>For a new observing run </a:t>
          </a:r>
          <a:r>
            <a:rPr lang="en-US" sz="1100" u="none"/>
            <a:t>copy</a:t>
          </a:r>
          <a:r>
            <a:rPr lang="en-US" sz="1100"/>
            <a:t> this file and </a:t>
          </a:r>
          <a:r>
            <a:rPr lang="en-US" sz="1100" u="none"/>
            <a:t>rename</a:t>
          </a:r>
          <a:r>
            <a:rPr lang="en-US" sz="1100"/>
            <a:t> it</a:t>
          </a:r>
          <a:r>
            <a:rPr lang="en-US" sz="1100" baseline="0"/>
            <a:t> (e.g. LBT_Planner_Sept24.xlsx). Inputs are typed into </a:t>
          </a:r>
          <a:r>
            <a:rPr lang="en-US" sz="1100" u="sng" baseline="0"/>
            <a:t>YELLOW</a:t>
          </a:r>
          <a:r>
            <a:rPr lang="en-US" sz="1100" baseline="0"/>
            <a:t> cells (caution: typing into other cells may overwrite formulae, not values). An Excel  scale of 80% shows most information. An annotated example of a UT vs Alt plot is shown below right.</a:t>
          </a:r>
        </a:p>
        <a:p>
          <a:endParaRPr lang="en-US" sz="1100"/>
        </a:p>
        <a:p>
          <a:r>
            <a:rPr lang="en-US" sz="1100"/>
            <a:t>There are 9 Excel sheets: </a:t>
          </a:r>
          <a:r>
            <a:rPr lang="en-US" sz="1100" u="sng"/>
            <a:t>Instruc</a:t>
          </a:r>
          <a:r>
            <a:rPr lang="en-US" sz="1100"/>
            <a:t> (this one); </a:t>
          </a:r>
          <a:r>
            <a:rPr lang="en-US" sz="1100" u="none" baseline="0"/>
            <a:t> </a:t>
          </a:r>
          <a:r>
            <a:rPr lang="en-US" sz="1100" u="sng" baseline="0"/>
            <a:t>Notes</a:t>
          </a:r>
          <a:r>
            <a:rPr lang="en-US" sz="1100" u="none" baseline="0"/>
            <a:t> for the run in general and/or specific targets; </a:t>
          </a:r>
          <a:r>
            <a:rPr lang="en-US" sz="1100" u="sng" baseline="0"/>
            <a:t>MODS</a:t>
          </a:r>
          <a:r>
            <a:rPr lang="en-US" sz="1100" baseline="0"/>
            <a:t>, </a:t>
          </a:r>
          <a:r>
            <a:rPr lang="en-US" sz="1100" u="sng" baseline="0"/>
            <a:t>LUCI</a:t>
          </a:r>
          <a:r>
            <a:rPr lang="en-US" sz="1100" baseline="0"/>
            <a:t>, </a:t>
          </a:r>
          <a:r>
            <a:rPr lang="en-US" sz="1100" u="sng" baseline="0"/>
            <a:t>LBC</a:t>
          </a:r>
          <a:r>
            <a:rPr lang="en-US" sz="1100" baseline="0"/>
            <a:t>, </a:t>
          </a:r>
          <a:r>
            <a:rPr lang="en-US" sz="1100" u="sng" baseline="0"/>
            <a:t>PEPSI</a:t>
          </a:r>
          <a:r>
            <a:rPr lang="en-US" sz="1100" baseline="0"/>
            <a:t> give Alt vs UT, Alt vs Az, and Skycam plots and target information for each instrument; </a:t>
          </a:r>
          <a:r>
            <a:rPr lang="en-US" sz="1100" u="sng" baseline="0"/>
            <a:t>RA-Dec</a:t>
          </a:r>
          <a:r>
            <a:rPr lang="en-US" sz="1100" baseline="0"/>
            <a:t> shows coordinates above Altitude = 30 for different UT;   </a:t>
          </a:r>
          <a:r>
            <a:rPr lang="en-US" sz="1100" u="sng" baseline="0"/>
            <a:t>AtmDisp</a:t>
          </a:r>
          <a:r>
            <a:rPr lang="en-US" sz="1100" baseline="0"/>
            <a:t> for analysing atmospheric refraction; and </a:t>
          </a:r>
          <a:r>
            <a:rPr lang="en-US" sz="1100" u="sng" baseline="0"/>
            <a:t>Calcs</a:t>
          </a:r>
          <a:r>
            <a:rPr lang="en-US" sz="1100" baseline="0"/>
            <a:t> for calculations that supply the main sheets.  </a:t>
          </a:r>
        </a:p>
        <a:p>
          <a:endParaRPr lang="en-US" sz="1100" baseline="0"/>
        </a:p>
        <a:p>
          <a:r>
            <a:rPr lang="en-US" sz="1100" baseline="0"/>
            <a:t>Follow these steps:</a:t>
          </a:r>
        </a:p>
        <a:p>
          <a:pPr algn="ctr"/>
          <a:r>
            <a:rPr lang="en-US" sz="1400" baseline="0">
              <a:solidFill>
                <a:srgbClr val="FF0000"/>
              </a:solidFill>
            </a:rPr>
            <a:t>Run Preparation</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(1) In this sheet, enter the observing UT date, and your time-zone offset from UT (e.g. Charlottesville is -4 hr in the summer): this generates local times along the top of the main Alt-UT plot. For each instrument, click and adjust the twilight rectangles to fit from 18-deg to sunrise/set (you can delete these if you wish). In the winter months, you may need to extend the UT x-axis range in the Alt-UT plot (double-click axis and adjust). Into each instrument sheet you will enter a (e.g. current) UT time as hh.mm (independent for each instrument).  For reference only, you may  record the beginning run Balance and Allocations of hours from Kochanek's SUMMARY file: on the right in this sheet. </a:t>
          </a:r>
        </a:p>
        <a:p>
          <a:endParaRPr lang="en-US" sz="1100" baseline="0"/>
        </a:p>
        <a:p>
          <a:r>
            <a:rPr lang="en-US" sz="1100" baseline="0"/>
            <a:t>     (2) In each instrumentIf sheet, enter into the yellow cells: target name, partner, priority, blank, RA (hh.mm), Dec (dd.mm), visit duration (decimal hours), HA limits. Each  instrument sheet can accommodate up to 20 targets. If you prefer to specify an altitude (or airmass) limit, use the yellow cells in column AK which then yields AM &amp; HA-limits in the adjacent columns. Copy the HA-limit by hand into column AD.  Aim to enter all objects for the run.  If you wish to enter more targets, you can duplicate (copy &amp; rename) a sheet.</a:t>
          </a:r>
        </a:p>
        <a:p>
          <a:endParaRPr lang="en-US" sz="1100" baseline="0"/>
        </a:p>
        <a:p>
          <a:r>
            <a:rPr lang="en-US" sz="1100" baseline="0"/>
            <a:t>     (3) Excel doesn't dynamically color  lines and labels, so to color code these by priority (1=red; 2=blue; 3=green) double-click on the lines &amp; names and change their colors (use Excel: "Format Data Series"). The Moon is in black. </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(4) Enter into the "Notes" sheet (optional) any notes you wish to make on the targets (e.g. from the readme files) and/or the run in general. You are now all set for the run. </a:t>
          </a:r>
        </a:p>
        <a:p>
          <a:endParaRPr lang="en-US" sz="1100" baseline="0"/>
        </a:p>
        <a:p>
          <a:pPr algn="ctr"/>
          <a:r>
            <a:rPr lang="en-US" sz="1400" baseline="0">
              <a:solidFill>
                <a:srgbClr val="FF0000"/>
              </a:solidFill>
            </a:rPr>
            <a:t>During the Run</a:t>
          </a:r>
          <a:r>
            <a:rPr lang="en-US" sz="1100" baseline="0"/>
            <a:t> </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(5) For the current instrument sheet, enter desired (e.g., current) UT time in hh.mm (yellow cell; top left). This updates  values in the "Target Information" table, and target locations in the plots. When a target is within its allowed HA range, a line extends to the right showing the time remaining to start the visit (and complete it before leaving the HA limit).  See annotated sheet on the right.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(6) The Alt-Az and SkyCam plots show target sky location to help avoid moon, wind, sunset/sunrise, clouds, etc. In the Alt-Az plot, gray lines show diurnal motion in 1 hr intervals for six Dec values, and five markers show 10-deg lengths in Alt and Az. In the SkyCam plot, the meridian and galactic plane are shown as dashed lines and GC marks the galactic center. </a:t>
          </a:r>
        </a:p>
        <a:p>
          <a:endParaRPr lang="en-US" sz="1100" baseline="0"/>
        </a:p>
        <a:p>
          <a:r>
            <a:rPr lang="en-US" sz="1100" baseline="0"/>
            <a:t>    (7) The five salmon columns give various "Warnings" :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(a) If the target altitude goes below 45 deg, the Alt cell gets </a:t>
          </a:r>
          <a:r>
            <a:rPr lang="en-US" sz="1100" u="sng" baseline="0"/>
            <a:t>redder</a:t>
          </a:r>
          <a:r>
            <a:rPr lang="en-US" sz="1100" baseline="0"/>
            <a:t>.</a:t>
          </a:r>
        </a:p>
        <a:p>
          <a:r>
            <a:rPr lang="en-US" sz="1100" baseline="0"/>
            <a:t>                (b) If the moon is above the horizon, its Alt cell turns </a:t>
          </a:r>
          <a:r>
            <a:rPr lang="en-US" sz="1100" u="sng" baseline="0"/>
            <a:t>orange</a:t>
          </a:r>
          <a:r>
            <a:rPr lang="en-US" sz="1100" baseline="0"/>
            <a:t>.</a:t>
          </a:r>
        </a:p>
        <a:p>
          <a:r>
            <a:rPr lang="en-US" sz="1100" baseline="0"/>
            <a:t>                (c) The moon angle and sky brightness give moonlight contamination, with </a:t>
          </a:r>
          <a:r>
            <a:rPr lang="en-US" sz="1100" u="sng" baseline="0"/>
            <a:t>redde</a:t>
          </a:r>
          <a:r>
            <a:rPr lang="en-US" sz="1100" u="none" baseline="0"/>
            <a:t>r for worse (see Calcs sheet)</a:t>
          </a:r>
          <a:r>
            <a:rPr lang="en-US" sz="1100" baseline="0"/>
            <a:t>. </a:t>
          </a:r>
        </a:p>
        <a:p>
          <a:r>
            <a:rPr lang="en-US" sz="1100" baseline="0"/>
            <a:t>                (d) The "Time left" column gives the time remaining to start a visit that will complete before the HA limit. </a:t>
          </a:r>
        </a:p>
        <a:p>
          <a:r>
            <a:rPr lang="en-US" sz="1100" baseline="0"/>
            <a:t>                         i) The" Time left" cell turns </a:t>
          </a:r>
          <a:r>
            <a:rPr lang="en-US" sz="1100" u="sng" baseline="0"/>
            <a:t>yellow</a:t>
          </a:r>
          <a:r>
            <a:rPr lang="en-US" sz="1100" baseline="0"/>
            <a:t> within 1 hour of running out of time (i.e., when time left = 0). </a:t>
          </a:r>
        </a:p>
        <a:p>
          <a:r>
            <a:rPr lang="en-US" sz="1100" baseline="0"/>
            <a:t>                        ii) The "Time left" cell turns </a:t>
          </a:r>
          <a:r>
            <a:rPr lang="en-US" sz="1100" u="sng" baseline="0"/>
            <a:t>red</a:t>
          </a:r>
          <a:r>
            <a:rPr lang="en-US" sz="1100" baseline="0"/>
            <a:t> when it's too late to start the visit (time left &lt; 0; no line shown).</a:t>
          </a:r>
        </a:p>
        <a:p>
          <a:r>
            <a:rPr lang="en-US" sz="1100" baseline="0"/>
            <a:t>                       iii) The "Time left" cell is </a:t>
          </a:r>
          <a:r>
            <a:rPr lang="en-US" sz="1100" u="sng" baseline="0"/>
            <a:t>orange</a:t>
          </a:r>
          <a:r>
            <a:rPr lang="en-US" sz="1100" baseline="0"/>
            <a:t> if the target hasn't yet entered the HA-limit (too early; no line shown).</a:t>
          </a:r>
        </a:p>
        <a:p>
          <a:endParaRPr lang="en-US" sz="1100" baseline="0"/>
        </a:p>
        <a:p>
          <a:r>
            <a:rPr lang="en-US" sz="1100" baseline="0"/>
            <a:t>    (8) As target observations are completed enter "done" in the Done column. As UT advances past the observing window, enter "past" in the "done" column. In both cases, the object is removed from the plots. As the run/night proceeds, the remaining targets get fewer. (To recover the target, delete the "done" or "past" in the Done column). When an observation is labeled "done", its visit duration is transferred to the Accounting array in the "Instruc" sheet. </a:t>
          </a:r>
        </a:p>
        <a:p>
          <a:endParaRPr lang="en-US" sz="1100" baseline="0"/>
        </a:p>
        <a:p>
          <a:r>
            <a:rPr lang="en-US" sz="1100" baseline="0"/>
            <a:t>     (9) To select targets from a long list of coordinates (e.g. PEPSI programs), use sheet RA-Dec to enter the UT and see what range of RA and Dec are well placed (e.g., above 30-deg). </a:t>
          </a:r>
        </a:p>
        <a:p>
          <a:endParaRPr lang="en-US" sz="1100" baseline="0"/>
        </a:p>
        <a:p>
          <a:r>
            <a:rPr lang="en-US" sz="1100" baseline="0"/>
            <a:t>     (10) For slit spectrocopy, the parallactic angle (PA, i.e., the position angle of the zenith w.r.t. north) is given in the PA column (AR) for each object for the given UT.  For a more detailed analysis of atmosphric refraction and slit losses for a given slit PA, slit width and seeing, see sheet AtmDisp and its instructions. </a:t>
          </a:r>
        </a:p>
        <a:p>
          <a:endParaRPr lang="en-US" sz="1100"/>
        </a:p>
        <a:p>
          <a:r>
            <a:rPr lang="en-US" sz="1100"/>
            <a:t>Mark Whittle </a:t>
          </a:r>
        </a:p>
        <a:p>
          <a:r>
            <a:rPr lang="en-US" sz="1100" baseline="0"/>
            <a:t>University of Virginia, </a:t>
          </a:r>
        </a:p>
        <a:p>
          <a:r>
            <a:rPr lang="en-US" sz="1100"/>
            <a:t>May 2024.</a:t>
          </a:r>
        </a:p>
      </xdr:txBody>
    </xdr:sp>
    <xdr:clientData/>
  </xdr:twoCellAnchor>
  <xdr:twoCellAnchor>
    <xdr:from>
      <xdr:col>16</xdr:col>
      <xdr:colOff>123950</xdr:colOff>
      <xdr:row>14</xdr:row>
      <xdr:rowOff>174090</xdr:rowOff>
    </xdr:from>
    <xdr:to>
      <xdr:col>20</xdr:col>
      <xdr:colOff>531327</xdr:colOff>
      <xdr:row>27</xdr:row>
      <xdr:rowOff>181429</xdr:rowOff>
    </xdr:to>
    <xdr:sp macro="" textlink="">
      <xdr:nvSpPr>
        <xdr:cNvPr id="4" name="TextBox 3">
          <a:extLst>
            <a:ext uri="{FF2B5EF4-FFF2-40B4-BE49-F238E27FC236}">
              <a16:creationId xmlns:a16="http://schemas.microsoft.com/office/drawing/2014/main" id="{114D91ED-E202-C054-E49A-6566B6D1BA76}"/>
            </a:ext>
          </a:extLst>
        </xdr:cNvPr>
        <xdr:cNvSpPr txBox="1"/>
      </xdr:nvSpPr>
      <xdr:spPr>
        <a:xfrm>
          <a:off x="13394154" y="3154702"/>
          <a:ext cx="3724928" cy="2728768"/>
        </a:xfrm>
        <a:prstGeom prst="rect">
          <a:avLst/>
        </a:prstGeom>
        <a:solidFill>
          <a:schemeClr val="lt1"/>
        </a:solidFill>
        <a:ln w="12700"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Accounting:</a:t>
          </a:r>
          <a:r>
            <a:rPr lang="en-US" sz="1100" u="none" baseline="0"/>
            <a:t> this table keeps track of all the completed observations (labeled "done" in the instrument sheets). It uses the "Visit time" to record the duration of each observation.</a:t>
          </a:r>
          <a:endParaRPr lang="en-US" sz="1100" u="sng"/>
        </a:p>
        <a:p>
          <a:endParaRPr lang="en-US" sz="1100" u="sng"/>
        </a:p>
        <a:p>
          <a:r>
            <a:rPr lang="en-US" sz="1100" u="sng"/>
            <a:t>Balance</a:t>
          </a:r>
          <a:r>
            <a:rPr lang="en-US" sz="1100"/>
            <a:t>:</a:t>
          </a:r>
          <a:r>
            <a:rPr lang="en-US" sz="1100" baseline="0"/>
            <a:t> refers to the relative "ahead" (+ve) or "behind" (−ve) hours for each partner. It is given in the run SUMMRAY that Kochanek circulates at the start of the run.</a:t>
          </a:r>
        </a:p>
        <a:p>
          <a:endParaRPr lang="en-US" sz="1100" baseline="0"/>
        </a:p>
        <a:p>
          <a:r>
            <a:rPr lang="en-US" sz="1100" u="sng" baseline="0"/>
            <a:t>Allocation</a:t>
          </a:r>
          <a:r>
            <a:rPr lang="en-US" sz="1100" baseline="0"/>
            <a:t>: gives the number of hours each partner can expect for this run (independent of "Balance"). It takes the total hours in the run (#nights × 18 deg to 18 deg), and splits this between the partners, weighted by share (minus time "lost" to LBTI).  This is also given in the run SUMMARY. </a:t>
          </a:r>
        </a:p>
        <a:p>
          <a:endParaRPr lang="en-US" sz="1100" baseline="0"/>
        </a:p>
        <a:p>
          <a:r>
            <a:rPr lang="en-US" sz="1100" u="sng" baseline="0"/>
            <a:t>Efficiency</a:t>
          </a:r>
          <a:r>
            <a:rPr lang="en-US" sz="1100" baseline="0"/>
            <a:t>: is the ratio of (total visit time) / (total time available)</a:t>
          </a:r>
          <a:endParaRPr lang="en-US" sz="1100"/>
        </a:p>
      </xdr:txBody>
    </xdr:sp>
    <xdr:clientData/>
  </xdr:twoCellAnchor>
  <xdr:twoCellAnchor>
    <xdr:from>
      <xdr:col>13</xdr:col>
      <xdr:colOff>134646</xdr:colOff>
      <xdr:row>4</xdr:row>
      <xdr:rowOff>49161</xdr:rowOff>
    </xdr:from>
    <xdr:to>
      <xdr:col>18</xdr:col>
      <xdr:colOff>801688</xdr:colOff>
      <xdr:row>10</xdr:row>
      <xdr:rowOff>177586</xdr:rowOff>
    </xdr:to>
    <xdr:sp macro="" textlink="">
      <xdr:nvSpPr>
        <xdr:cNvPr id="5" name="TextBox 4">
          <a:extLst>
            <a:ext uri="{FF2B5EF4-FFF2-40B4-BE49-F238E27FC236}">
              <a16:creationId xmlns:a16="http://schemas.microsoft.com/office/drawing/2014/main" id="{52A9FC1E-16E4-762F-5E6F-97F3B425AF9A}"/>
            </a:ext>
          </a:extLst>
        </xdr:cNvPr>
        <xdr:cNvSpPr txBox="1"/>
      </xdr:nvSpPr>
      <xdr:spPr>
        <a:xfrm>
          <a:off x="10866146" y="898474"/>
          <a:ext cx="4794542" cy="1374612"/>
        </a:xfrm>
        <a:prstGeom prst="rect">
          <a:avLst/>
        </a:prstGeom>
        <a:solidFill>
          <a:schemeClr val="lt1"/>
        </a:solidFill>
        <a:ln w="12700" cmpd="sng">
          <a:solidFill>
            <a:schemeClr val="tx1">
              <a:lumMod val="50000"/>
              <a:lumOff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UT</a:t>
          </a:r>
          <a:r>
            <a:rPr lang="en-US" sz="1100" u="sng" baseline="0"/>
            <a:t> date </a:t>
          </a:r>
          <a:r>
            <a:rPr lang="en-US" sz="1100" baseline="0"/>
            <a:t>is copied over to sheet Calcs, which calculates the sunrise/set and twilight times, and the LST for any UT. </a:t>
          </a:r>
        </a:p>
        <a:p>
          <a:endParaRPr lang="en-US" sz="1100" baseline="0"/>
        </a:p>
        <a:p>
          <a:r>
            <a:rPr lang="en-US" sz="1100" u="sng" baseline="0"/>
            <a:t>Local − UT</a:t>
          </a:r>
          <a:r>
            <a:rPr lang="en-US" sz="1100" u="none" baseline="0"/>
            <a:t>  is the time difference between you and UT, and it generates </a:t>
          </a:r>
          <a:r>
            <a:rPr lang="en-US" sz="1100" baseline="0"/>
            <a:t>the local time at the top of the UT-Alt plot (e.g., Charlottesville is -4 hours in the summer). </a:t>
          </a:r>
        </a:p>
        <a:p>
          <a:endParaRPr lang="en-US" sz="1100" baseline="0"/>
        </a:p>
        <a:p>
          <a:r>
            <a:rPr lang="en-US" sz="1100" u="sng" baseline="0"/>
            <a:t>Current UT</a:t>
          </a:r>
          <a:r>
            <a:rPr lang="en-US" sz="1100" baseline="0"/>
            <a:t> is entered in each instrument sheet, independently. </a:t>
          </a:r>
          <a:endParaRPr lang="en-US" sz="1100"/>
        </a:p>
      </xdr:txBody>
    </xdr:sp>
    <xdr:clientData/>
  </xdr:twoCellAnchor>
  <xdr:twoCellAnchor>
    <xdr:from>
      <xdr:col>13</xdr:col>
      <xdr:colOff>559777</xdr:colOff>
      <xdr:row>33</xdr:row>
      <xdr:rowOff>50801</xdr:rowOff>
    </xdr:from>
    <xdr:to>
      <xdr:col>18</xdr:col>
      <xdr:colOff>275492</xdr:colOff>
      <xdr:row>34</xdr:row>
      <xdr:rowOff>165100</xdr:rowOff>
    </xdr:to>
    <xdr:sp macro="" textlink="">
      <xdr:nvSpPr>
        <xdr:cNvPr id="6" name="TextBox 5">
          <a:extLst>
            <a:ext uri="{FF2B5EF4-FFF2-40B4-BE49-F238E27FC236}">
              <a16:creationId xmlns:a16="http://schemas.microsoft.com/office/drawing/2014/main" id="{9EEC35F8-E7A2-97F4-2182-5B7E199CC01C}"/>
            </a:ext>
          </a:extLst>
        </xdr:cNvPr>
        <xdr:cNvSpPr txBox="1"/>
      </xdr:nvSpPr>
      <xdr:spPr>
        <a:xfrm>
          <a:off x="11354777" y="6918570"/>
          <a:ext cx="3867638" cy="319453"/>
        </a:xfrm>
        <a:prstGeom prst="rect">
          <a:avLst/>
        </a:prstGeom>
        <a:solidFill>
          <a:schemeClr val="lt1"/>
        </a:solidFill>
        <a:ln w="1587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Annotated example of MODS instrument Alt-UT plot.</a:t>
          </a:r>
        </a:p>
      </xdr:txBody>
    </xdr:sp>
    <xdr:clientData/>
  </xdr:twoCellAnchor>
  <xdr:twoCellAnchor editAs="oneCell">
    <xdr:from>
      <xdr:col>9</xdr:col>
      <xdr:colOff>595924</xdr:colOff>
      <xdr:row>35</xdr:row>
      <xdr:rowOff>127000</xdr:rowOff>
    </xdr:from>
    <xdr:to>
      <xdr:col>21</xdr:col>
      <xdr:colOff>483520</xdr:colOff>
      <xdr:row>57</xdr:row>
      <xdr:rowOff>25519</xdr:rowOff>
    </xdr:to>
    <xdr:pic>
      <xdr:nvPicPr>
        <xdr:cNvPr id="9" name="Picture 8">
          <a:extLst>
            <a:ext uri="{FF2B5EF4-FFF2-40B4-BE49-F238E27FC236}">
              <a16:creationId xmlns:a16="http://schemas.microsoft.com/office/drawing/2014/main" id="{6B48BA69-E37A-B74B-B22A-9B6D7278D254}"/>
            </a:ext>
          </a:extLst>
        </xdr:cNvPr>
        <xdr:cNvPicPr>
          <a:picLocks noChangeAspect="1"/>
        </xdr:cNvPicPr>
      </xdr:nvPicPr>
      <xdr:blipFill>
        <a:blip xmlns:r="http://schemas.openxmlformats.org/officeDocument/2006/relationships" r:embed="rId1"/>
        <a:stretch>
          <a:fillRect/>
        </a:stretch>
      </xdr:blipFill>
      <xdr:spPr>
        <a:xfrm>
          <a:off x="8069386" y="7405077"/>
          <a:ext cx="9852211" cy="4411904"/>
        </a:xfrm>
        <a:prstGeom prst="rect">
          <a:avLst/>
        </a:prstGeom>
        <a:ln w="19050">
          <a:solidFill>
            <a:schemeClr val="tx1"/>
          </a:solidFill>
        </a:ln>
        <a:effectLst>
          <a:outerShdw blurRad="50800" dist="63500" dir="2700000" algn="tl" rotWithShape="0">
            <a:prstClr val="black">
              <a:alpha val="40000"/>
            </a:prstClr>
          </a:outerShdw>
        </a:effectLst>
      </xdr:spPr>
    </xdr:pic>
    <xdr:clientData/>
  </xdr:twoCellAnchor>
  <xdr:twoCellAnchor>
    <xdr:from>
      <xdr:col>20</xdr:col>
      <xdr:colOff>172692</xdr:colOff>
      <xdr:row>39</xdr:row>
      <xdr:rowOff>176578</xdr:rowOff>
    </xdr:from>
    <xdr:to>
      <xdr:col>21</xdr:col>
      <xdr:colOff>70827</xdr:colOff>
      <xdr:row>42</xdr:row>
      <xdr:rowOff>104339</xdr:rowOff>
    </xdr:to>
    <xdr:sp macro="" textlink="">
      <xdr:nvSpPr>
        <xdr:cNvPr id="8" name="TextBox 7">
          <a:extLst>
            <a:ext uri="{FF2B5EF4-FFF2-40B4-BE49-F238E27FC236}">
              <a16:creationId xmlns:a16="http://schemas.microsoft.com/office/drawing/2014/main" id="{8F148E67-F0A8-C2A9-9B21-E6A81CE65F68}"/>
            </a:ext>
          </a:extLst>
        </xdr:cNvPr>
        <xdr:cNvSpPr txBox="1"/>
      </xdr:nvSpPr>
      <xdr:spPr>
        <a:xfrm>
          <a:off x="16780384" y="8275270"/>
          <a:ext cx="728520" cy="543223"/>
        </a:xfrm>
        <a:prstGeom prst="rect">
          <a:avLst/>
        </a:prstGeom>
        <a:solidFill>
          <a:schemeClr val="lt1"/>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a:t>Adjustable Twilight Shading</a:t>
          </a:r>
        </a:p>
      </xdr:txBody>
    </xdr:sp>
    <xdr:clientData/>
  </xdr:twoCellAnchor>
  <xdr:twoCellAnchor>
    <xdr:from>
      <xdr:col>19</xdr:col>
      <xdr:colOff>586357</xdr:colOff>
      <xdr:row>41</xdr:row>
      <xdr:rowOff>31749</xdr:rowOff>
    </xdr:from>
    <xdr:to>
      <xdr:col>20</xdr:col>
      <xdr:colOff>159463</xdr:colOff>
      <xdr:row>41</xdr:row>
      <xdr:rowOff>177372</xdr:rowOff>
    </xdr:to>
    <xdr:cxnSp macro="">
      <xdr:nvCxnSpPr>
        <xdr:cNvPr id="10" name="Straight Arrow Connector 9">
          <a:extLst>
            <a:ext uri="{FF2B5EF4-FFF2-40B4-BE49-F238E27FC236}">
              <a16:creationId xmlns:a16="http://schemas.microsoft.com/office/drawing/2014/main" id="{D6AACBF2-FB52-5BEA-4959-D22EB724A51D}"/>
            </a:ext>
          </a:extLst>
        </xdr:cNvPr>
        <xdr:cNvCxnSpPr/>
      </xdr:nvCxnSpPr>
      <xdr:spPr>
        <a:xfrm flipH="1">
          <a:off x="16363665" y="8540749"/>
          <a:ext cx="403490" cy="145623"/>
        </a:xfrm>
        <a:prstGeom prst="straightConnector1">
          <a:avLst/>
        </a:prstGeom>
        <a:ln>
          <a:solidFill>
            <a:schemeClr val="tx1"/>
          </a:solidFill>
          <a:tailEnd type="triangle" w="med" len="med"/>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10.xml><?xml version="1.0" encoding="utf-8"?>
<c:userShapes xmlns:c="http://schemas.openxmlformats.org/drawingml/2006/chart">
  <cdr:relSizeAnchor xmlns:cdr="http://schemas.openxmlformats.org/drawingml/2006/chartDrawing">
    <cdr:from>
      <cdr:x>0.08706</cdr:x>
      <cdr:y>0.60982</cdr:y>
    </cdr:from>
    <cdr:to>
      <cdr:x>0.96667</cdr:x>
      <cdr:y>0.85436</cdr:y>
    </cdr:to>
    <cdr:sp macro="" textlink="">
      <cdr:nvSpPr>
        <cdr:cNvPr id="2" name="Rectangle 1">
          <a:extLst xmlns:a="http://schemas.openxmlformats.org/drawingml/2006/main">
            <a:ext uri="{FF2B5EF4-FFF2-40B4-BE49-F238E27FC236}">
              <a16:creationId xmlns:a16="http://schemas.microsoft.com/office/drawing/2014/main" id="{48F3FD8B-C5B5-E67A-E8B4-FADA8301010D}"/>
            </a:ext>
          </a:extLst>
        </cdr:cNvPr>
        <cdr:cNvSpPr/>
      </cdr:nvSpPr>
      <cdr:spPr>
        <a:xfrm xmlns:a="http://schemas.openxmlformats.org/drawingml/2006/main">
          <a:off x="707058" y="2969059"/>
          <a:ext cx="7143750" cy="1190603"/>
        </a:xfrm>
        <a:prstGeom xmlns:a="http://schemas.openxmlformats.org/drawingml/2006/main" prst="rect">
          <a:avLst/>
        </a:prstGeom>
        <a:gradFill xmlns:a="http://schemas.openxmlformats.org/drawingml/2006/main">
          <a:gsLst>
            <a:gs pos="0">
              <a:schemeClr val="accent1">
                <a:lumMod val="40000"/>
                <a:lumOff val="60000"/>
                <a:alpha val="18000"/>
              </a:schemeClr>
            </a:gs>
            <a:gs pos="100000">
              <a:schemeClr val="accent1">
                <a:lumMod val="0"/>
                <a:alpha val="15000"/>
              </a:schemeClr>
            </a:gs>
          </a:gsLst>
          <a:lin ang="5400000" scaled="1"/>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1.xml><?xml version="1.0" encoding="utf-8"?>
<c:userShapes xmlns:c="http://schemas.openxmlformats.org/drawingml/2006/chart">
  <cdr:relSizeAnchor xmlns:cdr="http://schemas.openxmlformats.org/drawingml/2006/chartDrawing">
    <cdr:from>
      <cdr:x>0.87175</cdr:x>
      <cdr:y>0.14058</cdr:y>
    </cdr:from>
    <cdr:to>
      <cdr:x>0.963</cdr:x>
      <cdr:y>0.85586</cdr:y>
    </cdr:to>
    <cdr:sp macro="" textlink="">
      <cdr:nvSpPr>
        <cdr:cNvPr id="2" name="Rectangle 1">
          <a:extLst xmlns:a="http://schemas.openxmlformats.org/drawingml/2006/main">
            <a:ext uri="{FF2B5EF4-FFF2-40B4-BE49-F238E27FC236}">
              <a16:creationId xmlns:a16="http://schemas.microsoft.com/office/drawing/2014/main" id="{CB4115C8-AF0B-A34A-A5F5-E72793D3B5C1}"/>
            </a:ext>
          </a:extLst>
        </cdr:cNvPr>
        <cdr:cNvSpPr/>
      </cdr:nvSpPr>
      <cdr:spPr>
        <a:xfrm xmlns:a="http://schemas.openxmlformats.org/drawingml/2006/main">
          <a:off x="7078730" y="677922"/>
          <a:ext cx="740963" cy="3449410"/>
        </a:xfrm>
        <a:prstGeom xmlns:a="http://schemas.openxmlformats.org/drawingml/2006/main" prst="rect">
          <a:avLst/>
        </a:prstGeom>
        <a:gradFill xmlns:a="http://schemas.openxmlformats.org/drawingml/2006/main" flip="none" rotWithShape="1">
          <a:gsLst>
            <a:gs pos="0">
              <a:schemeClr val="bg1">
                <a:alpha val="43000"/>
              </a:schemeClr>
            </a:gs>
            <a:gs pos="100000">
              <a:schemeClr val="tx1">
                <a:alpha val="45000"/>
              </a:schemeClr>
            </a:gs>
          </a:gsLst>
          <a:lin ang="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ln>
              <a:solidFill>
                <a:schemeClr val="tx1"/>
              </a:solidFill>
            </a:ln>
          </a:endParaRPr>
        </a:p>
      </cdr:txBody>
    </cdr:sp>
  </cdr:relSizeAnchor>
  <cdr:relSizeAnchor xmlns:cdr="http://schemas.openxmlformats.org/drawingml/2006/chartDrawing">
    <cdr:from>
      <cdr:x>0.10349</cdr:x>
      <cdr:y>0.14006</cdr:y>
    </cdr:from>
    <cdr:to>
      <cdr:x>0.19533</cdr:x>
      <cdr:y>0.85327</cdr:y>
    </cdr:to>
    <cdr:sp macro="" textlink="">
      <cdr:nvSpPr>
        <cdr:cNvPr id="3" name="Rectangle 2">
          <a:extLst xmlns:a="http://schemas.openxmlformats.org/drawingml/2006/main">
            <a:ext uri="{FF2B5EF4-FFF2-40B4-BE49-F238E27FC236}">
              <a16:creationId xmlns:a16="http://schemas.microsoft.com/office/drawing/2014/main" id="{76782FE1-32D7-4B2B-F797-9DAD04297080}"/>
            </a:ext>
          </a:extLst>
        </cdr:cNvPr>
        <cdr:cNvSpPr/>
      </cdr:nvSpPr>
      <cdr:spPr>
        <a:xfrm xmlns:a="http://schemas.openxmlformats.org/drawingml/2006/main" rot="10800000">
          <a:off x="840334" y="675434"/>
          <a:ext cx="745754" cy="3439427"/>
        </a:xfrm>
        <a:prstGeom xmlns:a="http://schemas.openxmlformats.org/drawingml/2006/main" prst="rect">
          <a:avLst/>
        </a:prstGeom>
        <a:gradFill xmlns:a="http://schemas.openxmlformats.org/drawingml/2006/main" flip="none" rotWithShape="1">
          <a:gsLst>
            <a:gs pos="0">
              <a:schemeClr val="bg1">
                <a:alpha val="43000"/>
              </a:schemeClr>
            </a:gs>
            <a:gs pos="100000">
              <a:schemeClr val="tx1">
                <a:alpha val="45000"/>
              </a:schemeClr>
            </a:gs>
          </a:gsLst>
          <a:lin ang="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ln>
              <a:solidFill>
                <a:schemeClr val="tx1"/>
              </a:solidFill>
            </a:ln>
          </a:endParaRPr>
        </a:p>
      </cdr:txBody>
    </cdr:sp>
  </cdr:relSizeAnchor>
  <cdr:relSizeAnchor xmlns:cdr="http://schemas.openxmlformats.org/drawingml/2006/chartDrawing">
    <cdr:from>
      <cdr:x>0.09119</cdr:x>
      <cdr:y>0.61487</cdr:y>
    </cdr:from>
    <cdr:to>
      <cdr:x>0.97214</cdr:x>
      <cdr:y>0.85437</cdr:y>
    </cdr:to>
    <cdr:sp macro="" textlink="">
      <cdr:nvSpPr>
        <cdr:cNvPr id="5" name="Rectangle 4">
          <a:extLst xmlns:a="http://schemas.openxmlformats.org/drawingml/2006/main">
            <a:ext uri="{FF2B5EF4-FFF2-40B4-BE49-F238E27FC236}">
              <a16:creationId xmlns:a16="http://schemas.microsoft.com/office/drawing/2014/main" id="{9B1328C6-E1C1-5D11-E953-F231BCD52B4B}"/>
            </a:ext>
          </a:extLst>
        </cdr:cNvPr>
        <cdr:cNvSpPr/>
      </cdr:nvSpPr>
      <cdr:spPr>
        <a:xfrm xmlns:a="http://schemas.openxmlformats.org/drawingml/2006/main">
          <a:off x="739455" y="3004965"/>
          <a:ext cx="7143757" cy="1170480"/>
        </a:xfrm>
        <a:prstGeom xmlns:a="http://schemas.openxmlformats.org/drawingml/2006/main" prst="rect">
          <a:avLst/>
        </a:prstGeom>
        <a:gradFill xmlns:a="http://schemas.openxmlformats.org/drawingml/2006/main">
          <a:gsLst>
            <a:gs pos="0">
              <a:schemeClr val="accent1">
                <a:lumMod val="40000"/>
                <a:lumOff val="60000"/>
                <a:alpha val="18000"/>
              </a:schemeClr>
            </a:gs>
            <a:gs pos="100000">
              <a:schemeClr val="accent1">
                <a:lumMod val="0"/>
                <a:alpha val="15000"/>
              </a:schemeClr>
            </a:gs>
          </a:gsLst>
          <a:lin ang="5400000" scaled="1"/>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12.xml><?xml version="1.0" encoding="utf-8"?>
<xdr:wsDr xmlns:xdr="http://schemas.openxmlformats.org/drawingml/2006/spreadsheetDrawing" xmlns:a="http://schemas.openxmlformats.org/drawingml/2006/main">
  <xdr:twoCellAnchor>
    <xdr:from>
      <xdr:col>4</xdr:col>
      <xdr:colOff>38253</xdr:colOff>
      <xdr:row>24</xdr:row>
      <xdr:rowOff>205963</xdr:rowOff>
    </xdr:from>
    <xdr:to>
      <xdr:col>20</xdr:col>
      <xdr:colOff>365125</xdr:colOff>
      <xdr:row>48</xdr:row>
      <xdr:rowOff>58209</xdr:rowOff>
    </xdr:to>
    <xdr:graphicFrame macro="">
      <xdr:nvGraphicFramePr>
        <xdr:cNvPr id="2" name="Chart 1">
          <a:extLst>
            <a:ext uri="{FF2B5EF4-FFF2-40B4-BE49-F238E27FC236}">
              <a16:creationId xmlns:a16="http://schemas.microsoft.com/office/drawing/2014/main" id="{E0AA32BE-ACC3-4044-8B97-B957A64AE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50598</xdr:colOff>
      <xdr:row>1</xdr:row>
      <xdr:rowOff>2318</xdr:rowOff>
    </xdr:from>
    <xdr:to>
      <xdr:col>20</xdr:col>
      <xdr:colOff>365125</xdr:colOff>
      <xdr:row>24</xdr:row>
      <xdr:rowOff>47625</xdr:rowOff>
    </xdr:to>
    <xdr:graphicFrame macro="">
      <xdr:nvGraphicFramePr>
        <xdr:cNvPr id="4" name="Chart 3">
          <a:extLst>
            <a:ext uri="{FF2B5EF4-FFF2-40B4-BE49-F238E27FC236}">
              <a16:creationId xmlns:a16="http://schemas.microsoft.com/office/drawing/2014/main" id="{B57AE8E7-BF0B-CD47-9455-1A9708D07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70376</xdr:colOff>
      <xdr:row>24</xdr:row>
      <xdr:rowOff>60147</xdr:rowOff>
    </xdr:from>
    <xdr:to>
      <xdr:col>34</xdr:col>
      <xdr:colOff>529505</xdr:colOff>
      <xdr:row>62</xdr:row>
      <xdr:rowOff>167922</xdr:rowOff>
    </xdr:to>
    <xdr:graphicFrame macro="">
      <xdr:nvGraphicFramePr>
        <xdr:cNvPr id="6" name="Chart 5">
          <a:extLst>
            <a:ext uri="{FF2B5EF4-FFF2-40B4-BE49-F238E27FC236}">
              <a16:creationId xmlns:a16="http://schemas.microsoft.com/office/drawing/2014/main" id="{F2C9ABA9-185B-D143-AABA-4F89839CF6F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0.08901</cdr:x>
      <cdr:y>0.60982</cdr:y>
    </cdr:from>
    <cdr:to>
      <cdr:x>0.96862</cdr:x>
      <cdr:y>0.85436</cdr:y>
    </cdr:to>
    <cdr:sp macro="" textlink="">
      <cdr:nvSpPr>
        <cdr:cNvPr id="2" name="Rectangle 1">
          <a:extLst xmlns:a="http://schemas.openxmlformats.org/drawingml/2006/main">
            <a:ext uri="{FF2B5EF4-FFF2-40B4-BE49-F238E27FC236}">
              <a16:creationId xmlns:a16="http://schemas.microsoft.com/office/drawing/2014/main" id="{48F3FD8B-C5B5-E67A-E8B4-FADA8301010D}"/>
            </a:ext>
          </a:extLst>
        </cdr:cNvPr>
        <cdr:cNvSpPr/>
      </cdr:nvSpPr>
      <cdr:spPr>
        <a:xfrm xmlns:a="http://schemas.openxmlformats.org/drawingml/2006/main">
          <a:off x="722933" y="2969059"/>
          <a:ext cx="7143750" cy="1190603"/>
        </a:xfrm>
        <a:prstGeom xmlns:a="http://schemas.openxmlformats.org/drawingml/2006/main" prst="rect">
          <a:avLst/>
        </a:prstGeom>
        <a:gradFill xmlns:a="http://schemas.openxmlformats.org/drawingml/2006/main">
          <a:gsLst>
            <a:gs pos="0">
              <a:schemeClr val="accent1">
                <a:lumMod val="40000"/>
                <a:lumOff val="60000"/>
                <a:alpha val="18000"/>
              </a:schemeClr>
            </a:gs>
            <a:gs pos="100000">
              <a:schemeClr val="accent1">
                <a:lumMod val="0"/>
                <a:alpha val="15000"/>
              </a:schemeClr>
            </a:gs>
          </a:gsLst>
          <a:lin ang="5400000" scaled="1"/>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4.xml><?xml version="1.0" encoding="utf-8"?>
<c:userShapes xmlns:c="http://schemas.openxmlformats.org/drawingml/2006/chart">
  <cdr:relSizeAnchor xmlns:cdr="http://schemas.openxmlformats.org/drawingml/2006/chartDrawing">
    <cdr:from>
      <cdr:x>0.81991</cdr:x>
      <cdr:y>0.14031</cdr:y>
    </cdr:from>
    <cdr:to>
      <cdr:x>0.91123</cdr:x>
      <cdr:y>0.85234</cdr:y>
    </cdr:to>
    <cdr:sp macro="" textlink="">
      <cdr:nvSpPr>
        <cdr:cNvPr id="2" name="Rectangle 1">
          <a:extLst xmlns:a="http://schemas.openxmlformats.org/drawingml/2006/main">
            <a:ext uri="{FF2B5EF4-FFF2-40B4-BE49-F238E27FC236}">
              <a16:creationId xmlns:a16="http://schemas.microsoft.com/office/drawing/2014/main" id="{CB4115C8-AF0B-A34A-A5F5-E72793D3B5C1}"/>
            </a:ext>
          </a:extLst>
        </cdr:cNvPr>
        <cdr:cNvSpPr/>
      </cdr:nvSpPr>
      <cdr:spPr>
        <a:xfrm xmlns:a="http://schemas.openxmlformats.org/drawingml/2006/main">
          <a:off x="6662043" y="670934"/>
          <a:ext cx="741982" cy="3404868"/>
        </a:xfrm>
        <a:prstGeom xmlns:a="http://schemas.openxmlformats.org/drawingml/2006/main" prst="rect">
          <a:avLst/>
        </a:prstGeom>
        <a:gradFill xmlns:a="http://schemas.openxmlformats.org/drawingml/2006/main" flip="none" rotWithShape="1">
          <a:gsLst>
            <a:gs pos="0">
              <a:schemeClr val="bg1">
                <a:alpha val="43000"/>
              </a:schemeClr>
            </a:gs>
            <a:gs pos="100000">
              <a:schemeClr val="tx1">
                <a:alpha val="45000"/>
              </a:schemeClr>
            </a:gs>
          </a:gsLst>
          <a:lin ang="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ln>
              <a:solidFill>
                <a:schemeClr val="tx1"/>
              </a:solidFill>
            </a:ln>
          </a:endParaRPr>
        </a:p>
      </cdr:txBody>
    </cdr:sp>
  </cdr:relSizeAnchor>
  <cdr:relSizeAnchor xmlns:cdr="http://schemas.openxmlformats.org/drawingml/2006/chartDrawing">
    <cdr:from>
      <cdr:x>0.10904</cdr:x>
      <cdr:y>0.14792</cdr:y>
    </cdr:from>
    <cdr:to>
      <cdr:x>0.20174</cdr:x>
      <cdr:y>0.85788</cdr:y>
    </cdr:to>
    <cdr:sp macro="" textlink="">
      <cdr:nvSpPr>
        <cdr:cNvPr id="3" name="Rectangle 2">
          <a:extLst xmlns:a="http://schemas.openxmlformats.org/drawingml/2006/main">
            <a:ext uri="{FF2B5EF4-FFF2-40B4-BE49-F238E27FC236}">
              <a16:creationId xmlns:a16="http://schemas.microsoft.com/office/drawing/2014/main" id="{76782FE1-32D7-4B2B-F797-9DAD04297080}"/>
            </a:ext>
          </a:extLst>
        </cdr:cNvPr>
        <cdr:cNvSpPr/>
      </cdr:nvSpPr>
      <cdr:spPr>
        <a:xfrm xmlns:a="http://schemas.openxmlformats.org/drawingml/2006/main" rot="10800000">
          <a:off x="884541" y="715734"/>
          <a:ext cx="751993" cy="3435164"/>
        </a:xfrm>
        <a:prstGeom xmlns:a="http://schemas.openxmlformats.org/drawingml/2006/main" prst="rect">
          <a:avLst/>
        </a:prstGeom>
        <a:gradFill xmlns:a="http://schemas.openxmlformats.org/drawingml/2006/main" flip="none" rotWithShape="1">
          <a:gsLst>
            <a:gs pos="0">
              <a:schemeClr val="bg1">
                <a:alpha val="43000"/>
              </a:schemeClr>
            </a:gs>
            <a:gs pos="100000">
              <a:schemeClr val="tx1">
                <a:alpha val="45000"/>
              </a:schemeClr>
            </a:gs>
          </a:gsLst>
          <a:lin ang="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ln>
              <a:solidFill>
                <a:schemeClr val="tx1"/>
              </a:solidFill>
            </a:ln>
          </a:endParaRPr>
        </a:p>
      </cdr:txBody>
    </cdr:sp>
  </cdr:relSizeAnchor>
  <cdr:relSizeAnchor xmlns:cdr="http://schemas.openxmlformats.org/drawingml/2006/chartDrawing">
    <cdr:from>
      <cdr:x>0.09147</cdr:x>
      <cdr:y>0.60763</cdr:y>
    </cdr:from>
    <cdr:to>
      <cdr:x>0.97242</cdr:x>
      <cdr:y>0.85924</cdr:y>
    </cdr:to>
    <cdr:sp macro="" textlink="">
      <cdr:nvSpPr>
        <cdr:cNvPr id="5" name="Rectangle 4">
          <a:extLst xmlns:a="http://schemas.openxmlformats.org/drawingml/2006/main">
            <a:ext uri="{FF2B5EF4-FFF2-40B4-BE49-F238E27FC236}">
              <a16:creationId xmlns:a16="http://schemas.microsoft.com/office/drawing/2014/main" id="{9B1328C6-E1C1-5D11-E953-F231BCD52B4B}"/>
            </a:ext>
          </a:extLst>
        </cdr:cNvPr>
        <cdr:cNvSpPr/>
      </cdr:nvSpPr>
      <cdr:spPr>
        <a:xfrm xmlns:a="http://schemas.openxmlformats.org/drawingml/2006/main">
          <a:off x="741772" y="2969590"/>
          <a:ext cx="7143757" cy="1229662"/>
        </a:xfrm>
        <a:prstGeom xmlns:a="http://schemas.openxmlformats.org/drawingml/2006/main" prst="rect">
          <a:avLst/>
        </a:prstGeom>
        <a:gradFill xmlns:a="http://schemas.openxmlformats.org/drawingml/2006/main">
          <a:gsLst>
            <a:gs pos="0">
              <a:schemeClr val="accent1">
                <a:lumMod val="40000"/>
                <a:lumOff val="60000"/>
                <a:alpha val="18000"/>
              </a:schemeClr>
            </a:gs>
            <a:gs pos="100000">
              <a:schemeClr val="accent1">
                <a:lumMod val="0"/>
                <a:alpha val="15000"/>
              </a:schemeClr>
            </a:gs>
          </a:gsLst>
          <a:lin ang="5400000" scaled="1"/>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15.xml><?xml version="1.0" encoding="utf-8"?>
<xdr:wsDr xmlns:xdr="http://schemas.openxmlformats.org/drawingml/2006/spreadsheetDrawing" xmlns:a="http://schemas.openxmlformats.org/drawingml/2006/main">
  <xdr:twoCellAnchor>
    <xdr:from>
      <xdr:col>3</xdr:col>
      <xdr:colOff>233697</xdr:colOff>
      <xdr:row>0</xdr:row>
      <xdr:rowOff>101110</xdr:rowOff>
    </xdr:from>
    <xdr:to>
      <xdr:col>15</xdr:col>
      <xdr:colOff>82170</xdr:colOff>
      <xdr:row>27</xdr:row>
      <xdr:rowOff>158750</xdr:rowOff>
    </xdr:to>
    <xdr:graphicFrame macro="">
      <xdr:nvGraphicFramePr>
        <xdr:cNvPr id="2" name="Chart 1">
          <a:extLst>
            <a:ext uri="{FF2B5EF4-FFF2-40B4-BE49-F238E27FC236}">
              <a16:creationId xmlns:a16="http://schemas.microsoft.com/office/drawing/2014/main" id="{4CF5C2E5-54A9-77C8-CF4A-7230CF5B0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693965</xdr:colOff>
      <xdr:row>28</xdr:row>
      <xdr:rowOff>182940</xdr:rowOff>
    </xdr:from>
    <xdr:to>
      <xdr:col>13</xdr:col>
      <xdr:colOff>322036</xdr:colOff>
      <xdr:row>41</xdr:row>
      <xdr:rowOff>74084</xdr:rowOff>
    </xdr:to>
    <xdr:sp macro="" textlink="">
      <xdr:nvSpPr>
        <xdr:cNvPr id="3" name="TextBox 2">
          <a:extLst>
            <a:ext uri="{FF2B5EF4-FFF2-40B4-BE49-F238E27FC236}">
              <a16:creationId xmlns:a16="http://schemas.microsoft.com/office/drawing/2014/main" id="{C72211AC-DF90-9E04-34D7-399D1FFE4BE4}"/>
            </a:ext>
          </a:extLst>
        </xdr:cNvPr>
        <xdr:cNvSpPr txBox="1"/>
      </xdr:nvSpPr>
      <xdr:spPr>
        <a:xfrm>
          <a:off x="3318632" y="5919107"/>
          <a:ext cx="7057571" cy="2515810"/>
        </a:xfrm>
        <a:prstGeom prst="rect">
          <a:avLst/>
        </a:prstGeom>
        <a:solidFill>
          <a:schemeClr val="lt1"/>
        </a:solidFill>
        <a:ln w="12700"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Instructions</a:t>
          </a:r>
          <a:endParaRPr lang="en-US" sz="1100" baseline="0"/>
        </a:p>
        <a:p>
          <a:endParaRPr lang="en-US" sz="1100" baseline="0"/>
        </a:p>
        <a:p>
          <a:r>
            <a:rPr lang="en-US" sz="1200" baseline="0"/>
            <a:t>This plot is useful when you need to select from a large list of targets -- too many to enter into the instrument sheets (e.g. , some PEPSI programs). Note: the</a:t>
          </a:r>
          <a:r>
            <a:rPr lang="en-US" sz="1200"/>
            <a:t> </a:t>
          </a:r>
          <a:r>
            <a:rPr lang="en-US" sz="1200" u="sng"/>
            <a:t>date</a:t>
          </a:r>
          <a:r>
            <a:rPr lang="en-US" sz="1200"/>
            <a:t> is</a:t>
          </a:r>
          <a:r>
            <a:rPr lang="en-US" sz="1200" baseline="0"/>
            <a:t> taken from </a:t>
          </a:r>
          <a:r>
            <a:rPr lang="en-US" sz="1200"/>
            <a:t>the first (Instruc) sheet.</a:t>
          </a:r>
        </a:p>
        <a:p>
          <a:endParaRPr lang="en-US" sz="1200" baseline="0"/>
        </a:p>
        <a:p>
          <a:r>
            <a:rPr lang="en-US" sz="1200" baseline="0"/>
            <a:t>In this sheet,</a:t>
          </a:r>
          <a:r>
            <a:rPr lang="en-US" sz="1200"/>
            <a:t> enter the </a:t>
          </a:r>
          <a:r>
            <a:rPr lang="en-US" sz="1200" u="sng"/>
            <a:t>UT time</a:t>
          </a:r>
          <a:r>
            <a:rPr lang="en-US" sz="1200"/>
            <a:t> (cell B3, yellow). The lines show different elevations: 0° = horizon (dashed</a:t>
          </a:r>
          <a:r>
            <a:rPr lang="en-US" sz="1200" baseline="0"/>
            <a:t> black), 30° (blue), 60° (red), and 90° (zenith). Select targets using the ranges of RA &amp; Dec that are above 30 deg. </a:t>
          </a:r>
        </a:p>
        <a:p>
          <a:endParaRPr lang="en-US" sz="1200" baseline="0"/>
        </a:p>
        <a:p>
          <a:r>
            <a:rPr lang="en-US" sz="1200" baseline="0"/>
            <a:t>As time passes the curves move left-to-right so upcoming targets fall to the </a:t>
          </a:r>
          <a:r>
            <a:rPr lang="en-US" sz="1200" u="sng" baseline="0"/>
            <a:t>right</a:t>
          </a:r>
          <a:r>
            <a:rPr lang="en-US" sz="1200" baseline="0"/>
            <a:t> of the current region.</a:t>
          </a:r>
        </a:p>
        <a:p>
          <a:endParaRPr lang="en-US" sz="1200" baseline="0"/>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t>Optional: you can overlay targets from the instrument sheets. Enter 1, 2, 3, 4 (MODS, LUCI, LBC, PEPSI) into cell B8 (yellow).  If you color these, the colors are tied to the sequence, not the objects. Blank gives no plotted targets.</a:t>
          </a:r>
        </a:p>
      </xdr:txBody>
    </xdr:sp>
    <xdr:clientData/>
  </xdr:twoCellAnchor>
  <xdr:twoCellAnchor>
    <xdr:from>
      <xdr:col>4</xdr:col>
      <xdr:colOff>698500</xdr:colOff>
      <xdr:row>42</xdr:row>
      <xdr:rowOff>182939</xdr:rowOff>
    </xdr:from>
    <xdr:to>
      <xdr:col>13</xdr:col>
      <xdr:colOff>326571</xdr:colOff>
      <xdr:row>61</xdr:row>
      <xdr:rowOff>158750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BE13655-209B-CDD7-3453-CF8D7DE32921}"/>
                </a:ext>
              </a:extLst>
            </xdr:cNvPr>
            <xdr:cNvSpPr txBox="1"/>
          </xdr:nvSpPr>
          <xdr:spPr>
            <a:xfrm>
              <a:off x="3323167" y="8744856"/>
              <a:ext cx="7057571" cy="3796394"/>
            </a:xfrm>
            <a:prstGeom prst="rect">
              <a:avLst/>
            </a:prstGeom>
            <a:solidFill>
              <a:schemeClr val="lt1"/>
            </a:solidFill>
            <a:ln w="12700"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Method</a:t>
              </a:r>
              <a:endParaRPr lang="en-US" sz="1100" baseline="0">
                <a:solidFill>
                  <a:srgbClr val="FF0000"/>
                </a:solidFill>
              </a:endParaRPr>
            </a:p>
            <a:p>
              <a:endParaRPr lang="en-US" sz="1100" baseline="0"/>
            </a:p>
            <a:p>
              <a:r>
                <a:rPr lang="en-US" sz="1100" baseline="0"/>
                <a:t>Find the coordinate of the zenith, and then find the coordinates of a line of constant distance, ZD, from the zenith.</a:t>
              </a:r>
            </a:p>
            <a:p>
              <a:endParaRPr lang="en-US" sz="1100" baseline="0"/>
            </a:p>
            <a:p>
              <a:r>
                <a:rPr lang="en-US" sz="1100" baseline="0"/>
                <a:t>Coordinates of the zenith are: RA = LST, Dec = Latitude. LST = (LST - UT) + UT, where (LST - UT) is taken from Calcs (B23) which uses GST at UT = 0 on the given date and the observatory longitude. Latitude is taken from Calcs (B3).</a:t>
              </a:r>
            </a:p>
            <a:p>
              <a:endParaRPr lang="en-US" sz="1100" baseline="0"/>
            </a:p>
            <a:p>
              <a:r>
                <a:rPr lang="en-US" sz="1100" baseline="0"/>
                <a:t>For zenith distance ZD (= 90 - elevation), and angle 𝜃 (0 - 360 to sweep out the line of constant ZD), we use two spherical trig relations for the RA &amp; Dec of the line:</a:t>
              </a:r>
            </a:p>
            <a:p>
              <a:endParaRPr lang="en-US" sz="1100" baseline="0"/>
            </a:p>
            <a:p>
              <a:r>
                <a:rPr lang="en-US" sz="1100" baseline="0"/>
                <a:t>The cosine formula gives: </a:t>
              </a:r>
            </a:p>
            <a:p>
              <a:pPr/>
              <a14:m>
                <m:oMathPara xmlns:m="http://schemas.openxmlformats.org/officeDocument/2006/math">
                  <m:oMathParaPr>
                    <m:jc m:val="centerGroup"/>
                  </m:oMathParaPr>
                  <m:oMath xmlns:m="http://schemas.openxmlformats.org/officeDocument/2006/math">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sin</m:t>
                        </m:r>
                      </m:fName>
                      <m:e>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𝐷𝑒𝑐</m:t>
                            </m:r>
                          </m:e>
                        </m:d>
                      </m:e>
                    </m:func>
                    <m:r>
                      <a:rPr lang="en-US" sz="1100" b="0" i="1" baseline="0">
                        <a:latin typeface="Cambria Math" panose="02040503050406030204" pitchFamily="18" charset="0"/>
                      </a:rPr>
                      <m:t>=</m:t>
                    </m:r>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sin</m:t>
                        </m:r>
                      </m:fName>
                      <m:e>
                        <m:d>
                          <m:dPr>
                            <m:ctrlPr>
                              <a:rPr lang="en-US" sz="1100" b="0" i="1" baseline="0">
                                <a:latin typeface="Cambria Math" panose="02040503050406030204" pitchFamily="18" charset="0"/>
                              </a:rPr>
                            </m:ctrlPr>
                          </m:dPr>
                          <m:e>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𝛿</m:t>
                                </m:r>
                              </m:e>
                              <m:sub>
                                <m:r>
                                  <a:rPr lang="en-US" sz="1100" b="0" i="1" baseline="0">
                                    <a:latin typeface="Cambria Math" panose="02040503050406030204" pitchFamily="18" charset="0"/>
                                  </a:rPr>
                                  <m:t>𝑍</m:t>
                                </m:r>
                              </m:sub>
                            </m:sSub>
                          </m:e>
                        </m:d>
                      </m:e>
                    </m:func>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cos</m:t>
                        </m:r>
                      </m:fName>
                      <m:e>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𝑍𝐷</m:t>
                            </m:r>
                          </m:e>
                        </m:d>
                      </m:e>
                    </m:func>
                    <m:r>
                      <a:rPr lang="en-US" sz="1100" b="0" i="1" baseline="0">
                        <a:latin typeface="Cambria Math" panose="02040503050406030204" pitchFamily="18" charset="0"/>
                      </a:rPr>
                      <m:t>+</m:t>
                    </m:r>
                    <m:r>
                      <m:rPr>
                        <m:sty m:val="p"/>
                      </m:rPr>
                      <a:rPr lang="en-US" sz="1100" b="0" i="0" baseline="0">
                        <a:latin typeface="Cambria Math" panose="02040503050406030204" pitchFamily="18" charset="0"/>
                      </a:rPr>
                      <m:t>cos</m:t>
                    </m:r>
                    <m:r>
                      <a:rPr lang="en-US" sz="1100" b="0" i="1" baseline="0">
                        <a:latin typeface="Cambria Math" panose="02040503050406030204" pitchFamily="18" charset="0"/>
                      </a:rPr>
                      <m:t>⁡</m:t>
                    </m:r>
                    <m:d>
                      <m:dPr>
                        <m:ctrlPr>
                          <a:rPr lang="en-US" sz="1100" b="0" i="1" baseline="0">
                            <a:latin typeface="Cambria Math" panose="02040503050406030204" pitchFamily="18" charset="0"/>
                          </a:rPr>
                        </m:ctrlPr>
                      </m:dPr>
                      <m:e>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𝛿</m:t>
                            </m:r>
                          </m:e>
                          <m:sub>
                            <m:r>
                              <a:rPr lang="en-US" sz="1100" b="0" i="1" baseline="0">
                                <a:latin typeface="Cambria Math" panose="02040503050406030204" pitchFamily="18" charset="0"/>
                              </a:rPr>
                              <m:t>𝑍</m:t>
                            </m:r>
                          </m:sub>
                        </m:sSub>
                      </m:e>
                    </m:d>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sin</m:t>
                        </m:r>
                      </m:fName>
                      <m:e>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𝑍𝐷</m:t>
                            </m:r>
                          </m:e>
                        </m:d>
                      </m:e>
                    </m:func>
                    <m:r>
                      <m:rPr>
                        <m:sty m:val="p"/>
                      </m:rPr>
                      <a:rPr lang="en-US" sz="1100" b="0" i="0" baseline="0">
                        <a:latin typeface="Cambria Math" panose="02040503050406030204" pitchFamily="18" charset="0"/>
                      </a:rPr>
                      <m:t>cos</m:t>
                    </m:r>
                    <m:r>
                      <a:rPr lang="en-US" sz="1100" b="0" i="1" baseline="0">
                        <a:latin typeface="Cambria Math" panose="02040503050406030204" pitchFamily="18" charset="0"/>
                      </a:rPr>
                      <m:t>⁡(</m:t>
                    </m:r>
                    <m:r>
                      <a:rPr lang="en-US" sz="1100" b="0" i="1" baseline="0">
                        <a:latin typeface="Cambria Math" panose="02040503050406030204" pitchFamily="18" charset="0"/>
                        <a:ea typeface="Cambria Math" panose="02040503050406030204" pitchFamily="18" charset="0"/>
                      </a:rPr>
                      <m:t>𝜃</m:t>
                    </m:r>
                    <m:r>
                      <a:rPr lang="en-US" sz="1100" b="0" i="1" baseline="0">
                        <a:latin typeface="Cambria Math" panose="02040503050406030204" pitchFamily="18" charset="0"/>
                        <a:ea typeface="Cambria Math" panose="02040503050406030204" pitchFamily="18" charset="0"/>
                      </a:rPr>
                      <m:t>)</m:t>
                    </m:r>
                  </m:oMath>
                </m:oMathPara>
              </a14:m>
              <a:endParaRPr lang="en-US" sz="1100" baseline="0"/>
            </a:p>
            <a:p>
              <a:r>
                <a:rPr lang="en-US" sz="1100" baseline="0"/>
                <a:t>and the four parts formula gives:</a:t>
              </a:r>
            </a:p>
            <a:p>
              <a:pPr/>
              <a14:m>
                <m:oMathPara xmlns:m="http://schemas.openxmlformats.org/officeDocument/2006/math">
                  <m:oMathParaPr>
                    <m:jc m:val="centerGroup"/>
                  </m:oMathParaPr>
                  <m:oMath xmlns:m="http://schemas.openxmlformats.org/officeDocument/2006/math">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tan</m:t>
                        </m:r>
                      </m:fName>
                      <m:e>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𝑅𝐴</m:t>
                            </m:r>
                            <m:r>
                              <a:rPr lang="en-US" sz="1100" b="0" i="1" baseline="0">
                                <a:latin typeface="Cambria Math" panose="02040503050406030204" pitchFamily="18" charset="0"/>
                              </a:rPr>
                              <m:t>−</m:t>
                            </m:r>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𝑅𝐴</m:t>
                                </m:r>
                              </m:e>
                              <m:sub>
                                <m:r>
                                  <a:rPr lang="en-US" sz="1100" b="0" i="1" baseline="0">
                                    <a:latin typeface="Cambria Math" panose="02040503050406030204" pitchFamily="18" charset="0"/>
                                  </a:rPr>
                                  <m:t>𝑍</m:t>
                                </m:r>
                              </m:sub>
                            </m:sSub>
                          </m:e>
                        </m:d>
                      </m:e>
                    </m:func>
                    <m:r>
                      <a:rPr lang="en-US" sz="1100" b="0" i="1" baseline="0">
                        <a:latin typeface="Cambria Math" panose="02040503050406030204" pitchFamily="18" charset="0"/>
                      </a:rPr>
                      <m:t>=</m:t>
                    </m:r>
                    <m:f>
                      <m:fPr>
                        <m:ctrlPr>
                          <a:rPr lang="en-US" sz="1100" b="0" i="1" baseline="0">
                            <a:latin typeface="Cambria Math" panose="02040503050406030204" pitchFamily="18" charset="0"/>
                          </a:rPr>
                        </m:ctrlPr>
                      </m:fPr>
                      <m:num>
                        <m:r>
                          <m:rPr>
                            <m:sty m:val="p"/>
                          </m:rPr>
                          <a:rPr lang="en-US" sz="1100" b="0" i="0" baseline="0">
                            <a:latin typeface="Cambria Math" panose="02040503050406030204" pitchFamily="18" charset="0"/>
                          </a:rPr>
                          <m:t>sin</m:t>
                        </m:r>
                        <m:r>
                          <a:rPr lang="en-US" sz="1100" b="0" i="1" baseline="0">
                            <a:latin typeface="Cambria Math" panose="02040503050406030204" pitchFamily="18" charset="0"/>
                          </a:rPr>
                          <m:t>⁡(</m:t>
                        </m:r>
                        <m:r>
                          <a:rPr lang="en-US" sz="1100" b="0" i="1" baseline="0">
                            <a:latin typeface="Cambria Math" panose="02040503050406030204" pitchFamily="18" charset="0"/>
                            <a:ea typeface="Cambria Math" panose="02040503050406030204" pitchFamily="18" charset="0"/>
                          </a:rPr>
                          <m:t>𝜃</m:t>
                        </m:r>
                        <m:r>
                          <a:rPr lang="en-US" sz="1100" b="0" i="1" baseline="0">
                            <a:latin typeface="Cambria Math" panose="02040503050406030204" pitchFamily="18" charset="0"/>
                            <a:ea typeface="Cambria Math" panose="02040503050406030204" pitchFamily="18" charset="0"/>
                          </a:rPr>
                          <m:t>)</m:t>
                        </m:r>
                      </m:num>
                      <m:den>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cot</m:t>
                            </m:r>
                          </m:fName>
                          <m:e>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𝑍𝐷</m:t>
                                </m:r>
                              </m:e>
                            </m:d>
                          </m:e>
                        </m:func>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cos</m:t>
                            </m:r>
                          </m:fName>
                          <m:e>
                            <m:d>
                              <m:dPr>
                                <m:ctrlPr>
                                  <a:rPr lang="en-US" sz="1100" b="0" i="1" baseline="0">
                                    <a:latin typeface="Cambria Math" panose="02040503050406030204" pitchFamily="18" charset="0"/>
                                  </a:rPr>
                                </m:ctrlPr>
                              </m:dPr>
                              <m:e>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𝛿</m:t>
                                    </m:r>
                                  </m:e>
                                  <m:sub>
                                    <m:r>
                                      <a:rPr lang="en-US" sz="1100" b="0" i="1" baseline="0">
                                        <a:latin typeface="Cambria Math" panose="02040503050406030204" pitchFamily="18" charset="0"/>
                                      </a:rPr>
                                      <m:t>𝑍</m:t>
                                    </m:r>
                                  </m:sub>
                                </m:sSub>
                              </m:e>
                            </m:d>
                          </m:e>
                        </m:func>
                        <m:r>
                          <a:rPr lang="en-US" sz="1100" b="0" i="1" baseline="0">
                            <a:latin typeface="Cambria Math" panose="02040503050406030204" pitchFamily="18" charset="0"/>
                          </a:rPr>
                          <m:t>−</m:t>
                        </m:r>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sin</m:t>
                            </m:r>
                          </m:fName>
                          <m:e>
                            <m:d>
                              <m:dPr>
                                <m:ctrlPr>
                                  <a:rPr lang="en-US" sz="1100" b="0" i="1" baseline="0">
                                    <a:latin typeface="Cambria Math" panose="02040503050406030204" pitchFamily="18" charset="0"/>
                                  </a:rPr>
                                </m:ctrlPr>
                              </m:dPr>
                              <m:e>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𝛿</m:t>
                                    </m:r>
                                  </m:e>
                                  <m:sub>
                                    <m:r>
                                      <a:rPr lang="en-US" sz="1100" b="0" i="1" baseline="0">
                                        <a:latin typeface="Cambria Math" panose="02040503050406030204" pitchFamily="18" charset="0"/>
                                      </a:rPr>
                                      <m:t>𝑍</m:t>
                                    </m:r>
                                  </m:sub>
                                </m:sSub>
                              </m:e>
                            </m:d>
                          </m:e>
                        </m:func>
                        <m:r>
                          <m:rPr>
                            <m:sty m:val="p"/>
                          </m:rPr>
                          <a:rPr lang="en-US" sz="1100" b="0" i="0" baseline="0">
                            <a:latin typeface="Cambria Math" panose="02040503050406030204" pitchFamily="18" charset="0"/>
                          </a:rPr>
                          <m:t>cos</m:t>
                        </m:r>
                        <m:r>
                          <a:rPr lang="en-US" sz="1100" b="0" i="1" baseline="0">
                            <a:latin typeface="Cambria Math" panose="02040503050406030204" pitchFamily="18" charset="0"/>
                          </a:rPr>
                          <m:t>⁡(</m:t>
                        </m:r>
                        <m:r>
                          <a:rPr lang="en-US" sz="1100" b="0" i="1" baseline="0">
                            <a:latin typeface="Cambria Math" panose="02040503050406030204" pitchFamily="18" charset="0"/>
                            <a:ea typeface="Cambria Math" panose="02040503050406030204" pitchFamily="18" charset="0"/>
                          </a:rPr>
                          <m:t>𝜃</m:t>
                        </m:r>
                        <m:r>
                          <a:rPr lang="en-US" sz="1100" b="0" i="1" baseline="0">
                            <a:latin typeface="Cambria Math" panose="02040503050406030204" pitchFamily="18" charset="0"/>
                            <a:ea typeface="Cambria Math" panose="02040503050406030204" pitchFamily="18" charset="0"/>
                          </a:rPr>
                          <m:t>)</m:t>
                        </m:r>
                      </m:den>
                    </m:f>
                  </m:oMath>
                </m:oMathPara>
              </a14:m>
              <a:endParaRPr lang="en-US" sz="1100" baseline="0"/>
            </a:p>
            <a:p>
              <a:endParaRPr lang="en-US" sz="1100" baseline="0"/>
            </a:p>
            <a:p>
              <a:r>
                <a:rPr lang="en-US" sz="1100" baseline="0"/>
                <a:t>which, in Excel, we unpack using ATAN2(x,y):</a:t>
              </a:r>
            </a:p>
            <a:p>
              <a:endParaRPr lang="en-US" sz="1100" baseline="0"/>
            </a:p>
            <a:p>
              <a:pPr/>
              <a14:m>
                <m:oMathPara xmlns:m="http://schemas.openxmlformats.org/officeDocument/2006/math">
                  <m:oMathParaPr>
                    <m:jc m:val="centerGroup"/>
                  </m:oMathParaPr>
                  <m:oMath xmlns:m="http://schemas.openxmlformats.org/officeDocument/2006/math">
                    <m:r>
                      <a:rPr lang="en-US" sz="1100" b="0" i="1" baseline="0">
                        <a:latin typeface="Cambria Math" panose="02040503050406030204" pitchFamily="18" charset="0"/>
                      </a:rPr>
                      <m:t>𝑅𝐴</m:t>
                    </m:r>
                    <m:r>
                      <a:rPr lang="en-US" sz="1100" b="0" i="1" baseline="0">
                        <a:latin typeface="Cambria Math" panose="02040503050406030204" pitchFamily="18" charset="0"/>
                      </a:rPr>
                      <m:t>=</m:t>
                    </m:r>
                    <m:r>
                      <a:rPr lang="en-US" sz="1100" b="0" i="1" baseline="0">
                        <a:latin typeface="Cambria Math" panose="02040503050406030204" pitchFamily="18" charset="0"/>
                      </a:rPr>
                      <m:t>𝑀𝑂𝐷</m:t>
                    </m:r>
                    <m:r>
                      <a:rPr lang="en-US" sz="1100" b="0" i="1" baseline="0">
                        <a:latin typeface="Cambria Math" panose="02040503050406030204" pitchFamily="18" charset="0"/>
                      </a:rPr>
                      <m:t>(</m:t>
                    </m:r>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rPr>
                          <m:t>𝑅𝐴</m:t>
                        </m:r>
                      </m:e>
                      <m:sub>
                        <m:r>
                          <a:rPr lang="en-US" sz="1100" b="0" i="1" baseline="0">
                            <a:latin typeface="Cambria Math" panose="02040503050406030204" pitchFamily="18" charset="0"/>
                          </a:rPr>
                          <m:t>𝑍</m:t>
                        </m:r>
                      </m:sub>
                    </m:sSub>
                    <m:r>
                      <a:rPr lang="en-US" sz="1100" b="0" i="1" baseline="0">
                        <a:latin typeface="Cambria Math" panose="02040503050406030204" pitchFamily="18" charset="0"/>
                      </a:rPr>
                      <m:t>+</m:t>
                    </m:r>
                    <m:f>
                      <m:fPr>
                        <m:ctrlPr>
                          <a:rPr lang="en-US" sz="1100" b="0" i="1" baseline="0">
                            <a:latin typeface="Cambria Math" panose="02040503050406030204" pitchFamily="18" charset="0"/>
                          </a:rPr>
                        </m:ctrlPr>
                      </m:fPr>
                      <m:num>
                        <m:r>
                          <a:rPr lang="en-US" sz="1100" b="0" i="1" baseline="0">
                            <a:latin typeface="Cambria Math" panose="02040503050406030204" pitchFamily="18" charset="0"/>
                          </a:rPr>
                          <m:t>180</m:t>
                        </m:r>
                      </m:num>
                      <m:den>
                        <m:r>
                          <a:rPr lang="en-US" sz="1100" b="0" i="1" baseline="0">
                            <a:latin typeface="Cambria Math" panose="02040503050406030204" pitchFamily="18" charset="0"/>
                            <a:ea typeface="Cambria Math" panose="02040503050406030204" pitchFamily="18" charset="0"/>
                          </a:rPr>
                          <m:t>𝜋</m:t>
                        </m:r>
                      </m:den>
                    </m:f>
                    <m:r>
                      <a:rPr lang="en-US" sz="1100" b="0" i="1" baseline="0">
                        <a:latin typeface="Cambria Math" panose="02040503050406030204" pitchFamily="18" charset="0"/>
                      </a:rPr>
                      <m:t>𝐴𝑇𝐴𝑁</m:t>
                    </m:r>
                    <m:r>
                      <a:rPr lang="en-US" sz="1100" b="0" i="1" baseline="0">
                        <a:latin typeface="Cambria Math" panose="02040503050406030204" pitchFamily="18" charset="0"/>
                      </a:rPr>
                      <m:t>2</m:t>
                    </m:r>
                    <m:d>
                      <m:dPr>
                        <m:ctrlPr>
                          <a:rPr lang="en-US" sz="1100" b="0" i="1" baseline="0">
                            <a:latin typeface="Cambria Math" panose="02040503050406030204" pitchFamily="18" charset="0"/>
                          </a:rPr>
                        </m:ctrlPr>
                      </m:dPr>
                      <m:e>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cot</m:t>
                            </m:r>
                          </m:fName>
                          <m:e>
                            <m:d>
                              <m:dPr>
                                <m:ctrlPr>
                                  <a:rPr lang="en-US" sz="1100" b="0" i="1" baseline="0">
                                    <a:latin typeface="Cambria Math" panose="02040503050406030204" pitchFamily="18" charset="0"/>
                                  </a:rPr>
                                </m:ctrlPr>
                              </m:dPr>
                              <m:e>
                                <m:r>
                                  <a:rPr lang="en-US" sz="1100" b="0" i="1" baseline="0">
                                    <a:latin typeface="Cambria Math" panose="02040503050406030204" pitchFamily="18" charset="0"/>
                                  </a:rPr>
                                  <m:t>𝑍𝐷</m:t>
                                </m:r>
                              </m:e>
                            </m:d>
                          </m:e>
                        </m:func>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cos</m:t>
                            </m:r>
                          </m:fName>
                          <m:e>
                            <m:d>
                              <m:dPr>
                                <m:ctrlPr>
                                  <a:rPr lang="en-US" sz="1100" b="0" i="1" baseline="0">
                                    <a:latin typeface="Cambria Math" panose="02040503050406030204" pitchFamily="18" charset="0"/>
                                  </a:rPr>
                                </m:ctrlPr>
                              </m:dPr>
                              <m:e>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𝛿</m:t>
                                    </m:r>
                                  </m:e>
                                  <m:sub>
                                    <m:r>
                                      <a:rPr lang="en-US" sz="1100" b="0" i="1" baseline="0">
                                        <a:latin typeface="Cambria Math" panose="02040503050406030204" pitchFamily="18" charset="0"/>
                                      </a:rPr>
                                      <m:t>𝑍</m:t>
                                    </m:r>
                                  </m:sub>
                                </m:sSub>
                              </m:e>
                            </m:d>
                          </m:e>
                        </m:func>
                        <m:r>
                          <a:rPr lang="en-US" sz="1100" b="0" i="1" baseline="0">
                            <a:latin typeface="Cambria Math" panose="02040503050406030204" pitchFamily="18" charset="0"/>
                          </a:rPr>
                          <m:t>−</m:t>
                        </m:r>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sin</m:t>
                            </m:r>
                          </m:fName>
                          <m:e>
                            <m:d>
                              <m:dPr>
                                <m:ctrlPr>
                                  <a:rPr lang="en-US" sz="1100" b="0" i="1" baseline="0">
                                    <a:latin typeface="Cambria Math" panose="02040503050406030204" pitchFamily="18" charset="0"/>
                                  </a:rPr>
                                </m:ctrlPr>
                              </m:dPr>
                              <m:e>
                                <m:sSub>
                                  <m:sSubPr>
                                    <m:ctrlPr>
                                      <a:rPr lang="en-US" sz="1100" b="0" i="1" baseline="0">
                                        <a:latin typeface="Cambria Math" panose="02040503050406030204" pitchFamily="18" charset="0"/>
                                      </a:rPr>
                                    </m:ctrlPr>
                                  </m:sSubPr>
                                  <m:e>
                                    <m:r>
                                      <a:rPr lang="en-US" sz="1100" b="0" i="1" baseline="0">
                                        <a:latin typeface="Cambria Math" panose="02040503050406030204" pitchFamily="18" charset="0"/>
                                        <a:ea typeface="Cambria Math" panose="02040503050406030204" pitchFamily="18" charset="0"/>
                                      </a:rPr>
                                      <m:t>𝛿</m:t>
                                    </m:r>
                                  </m:e>
                                  <m:sub>
                                    <m:r>
                                      <a:rPr lang="en-US" sz="1100" b="0" i="1" baseline="0">
                                        <a:latin typeface="Cambria Math" panose="02040503050406030204" pitchFamily="18" charset="0"/>
                                      </a:rPr>
                                      <m:t>𝑍</m:t>
                                    </m:r>
                                  </m:sub>
                                </m:sSub>
                              </m:e>
                            </m:d>
                          </m:e>
                        </m:func>
                        <m:func>
                          <m:funcPr>
                            <m:ctrlPr>
                              <a:rPr lang="en-US" sz="1100" b="0" i="1" baseline="0">
                                <a:latin typeface="Cambria Math" panose="02040503050406030204" pitchFamily="18" charset="0"/>
                              </a:rPr>
                            </m:ctrlPr>
                          </m:funcPr>
                          <m:fName>
                            <m:r>
                              <m:rPr>
                                <m:sty m:val="p"/>
                              </m:rPr>
                              <a:rPr lang="en-US" sz="1100" b="0" i="0" baseline="0">
                                <a:latin typeface="Cambria Math" panose="02040503050406030204" pitchFamily="18" charset="0"/>
                              </a:rPr>
                              <m:t>cos</m:t>
                            </m:r>
                          </m:fName>
                          <m:e>
                            <m:d>
                              <m:dPr>
                                <m:ctrlPr>
                                  <a:rPr lang="en-US" sz="1100" b="0" i="1" baseline="0">
                                    <a:latin typeface="Cambria Math" panose="02040503050406030204" pitchFamily="18" charset="0"/>
                                  </a:rPr>
                                </m:ctrlPr>
                              </m:dPr>
                              <m:e>
                                <m:r>
                                  <a:rPr lang="en-US" sz="1100" b="0" i="1" baseline="0">
                                    <a:latin typeface="Cambria Math" panose="02040503050406030204" pitchFamily="18" charset="0"/>
                                    <a:ea typeface="Cambria Math" panose="02040503050406030204" pitchFamily="18" charset="0"/>
                                  </a:rPr>
                                  <m:t>𝜃</m:t>
                                </m:r>
                              </m:e>
                            </m:d>
                          </m:e>
                        </m:func>
                        <m:r>
                          <a:rPr lang="en-US" sz="1100" b="0" i="1" baseline="0">
                            <a:latin typeface="Cambria Math" panose="02040503050406030204" pitchFamily="18" charset="0"/>
                            <a:ea typeface="Cambria Math" panose="02040503050406030204" pitchFamily="18" charset="0"/>
                          </a:rPr>
                          <m:t>,</m:t>
                        </m:r>
                        <m:func>
                          <m:funcPr>
                            <m:ctrlPr>
                              <a:rPr lang="en-US" sz="1100" b="0" i="1" baseline="0">
                                <a:latin typeface="Cambria Math" panose="02040503050406030204" pitchFamily="18" charset="0"/>
                                <a:ea typeface="Cambria Math" panose="02040503050406030204" pitchFamily="18" charset="0"/>
                              </a:rPr>
                            </m:ctrlPr>
                          </m:funcPr>
                          <m:fName>
                            <m:r>
                              <m:rPr>
                                <m:sty m:val="p"/>
                              </m:rPr>
                              <a:rPr lang="en-US" sz="1100" b="0" i="0" baseline="0">
                                <a:latin typeface="Cambria Math" panose="02040503050406030204" pitchFamily="18" charset="0"/>
                                <a:ea typeface="Cambria Math" panose="02040503050406030204" pitchFamily="18" charset="0"/>
                              </a:rPr>
                              <m:t>sin</m:t>
                            </m:r>
                          </m:fName>
                          <m:e>
                            <m:d>
                              <m:dPr>
                                <m:ctrlPr>
                                  <a:rPr lang="en-US" sz="1100" b="0" i="1" baseline="0">
                                    <a:latin typeface="Cambria Math" panose="02040503050406030204" pitchFamily="18" charset="0"/>
                                    <a:ea typeface="Cambria Math" panose="02040503050406030204" pitchFamily="18" charset="0"/>
                                  </a:rPr>
                                </m:ctrlPr>
                              </m:dPr>
                              <m:e>
                                <m:r>
                                  <a:rPr lang="en-US" sz="1100" b="0" i="1" baseline="0">
                                    <a:latin typeface="Cambria Math" panose="02040503050406030204" pitchFamily="18" charset="0"/>
                                    <a:ea typeface="Cambria Math" panose="02040503050406030204" pitchFamily="18" charset="0"/>
                                  </a:rPr>
                                  <m:t>𝜃</m:t>
                                </m:r>
                              </m:e>
                            </m:d>
                          </m:e>
                        </m:func>
                      </m:e>
                    </m:d>
                    <m:r>
                      <a:rPr lang="en-US" sz="1100" b="0" i="1" baseline="0">
                        <a:latin typeface="Cambria Math" panose="02040503050406030204" pitchFamily="18" charset="0"/>
                        <a:ea typeface="Cambria Math" panose="02040503050406030204" pitchFamily="18" charset="0"/>
                      </a:rPr>
                      <m:t>,360)</m:t>
                    </m:r>
                  </m:oMath>
                </m:oMathPara>
              </a14:m>
              <a:endParaRPr lang="en-US" sz="1100" baseline="0"/>
            </a:p>
          </xdr:txBody>
        </xdr:sp>
      </mc:Choice>
      <mc:Fallback xmlns="">
        <xdr:sp macro="" textlink="">
          <xdr:nvSpPr>
            <xdr:cNvPr id="4" name="TextBox 3">
              <a:extLst>
                <a:ext uri="{FF2B5EF4-FFF2-40B4-BE49-F238E27FC236}">
                  <a16:creationId xmlns:a16="http://schemas.microsoft.com/office/drawing/2014/main" id="{1BE13655-209B-CDD7-3453-CF8D7DE32921}"/>
                </a:ext>
              </a:extLst>
            </xdr:cNvPr>
            <xdr:cNvSpPr txBox="1"/>
          </xdr:nvSpPr>
          <xdr:spPr>
            <a:xfrm>
              <a:off x="3323167" y="8744856"/>
              <a:ext cx="7057571" cy="3796394"/>
            </a:xfrm>
            <a:prstGeom prst="rect">
              <a:avLst/>
            </a:prstGeom>
            <a:solidFill>
              <a:schemeClr val="lt1"/>
            </a:solidFill>
            <a:ln w="12700"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Method</a:t>
              </a:r>
              <a:endParaRPr lang="en-US" sz="1100" baseline="0">
                <a:solidFill>
                  <a:srgbClr val="FF0000"/>
                </a:solidFill>
              </a:endParaRPr>
            </a:p>
            <a:p>
              <a:endParaRPr lang="en-US" sz="1100" baseline="0"/>
            </a:p>
            <a:p>
              <a:r>
                <a:rPr lang="en-US" sz="1100" baseline="0"/>
                <a:t>Find the coordinate of the zenith, and then find the coordinates of a line of constant distance, ZD, from the zenith.</a:t>
              </a:r>
            </a:p>
            <a:p>
              <a:endParaRPr lang="en-US" sz="1100" baseline="0"/>
            </a:p>
            <a:p>
              <a:r>
                <a:rPr lang="en-US" sz="1100" baseline="0"/>
                <a:t>Coordinates of the zenith are: RA = LST, Dec = Latitude. LST = (LST - UT) + UT, where (LST - UT) is taken from Calcs (B23) which uses GST at UT = 0 on the given date and the observatory longitude. Latitude is taken from Calcs (B3).</a:t>
              </a:r>
            </a:p>
            <a:p>
              <a:endParaRPr lang="en-US" sz="1100" baseline="0"/>
            </a:p>
            <a:p>
              <a:r>
                <a:rPr lang="en-US" sz="1100" baseline="0"/>
                <a:t>For zenith distance ZD (= 90 - elevation), and angle 𝜃 (0 - 360 to sweep out the line of constant ZD), we use two spherical trig relations for the RA &amp; Dec of the line:</a:t>
              </a:r>
            </a:p>
            <a:p>
              <a:endParaRPr lang="en-US" sz="1100" baseline="0"/>
            </a:p>
            <a:p>
              <a:r>
                <a:rPr lang="en-US" sz="1100" baseline="0"/>
                <a:t>The cosine formula gives: </a:t>
              </a:r>
            </a:p>
            <a:p>
              <a:pPr/>
              <a:r>
                <a:rPr lang="en-US" sz="1100" b="0" i="0" baseline="0">
                  <a:latin typeface="Cambria Math" panose="02040503050406030204" pitchFamily="18" charset="0"/>
                </a:rPr>
                <a:t>sin⁡(𝐷𝑒𝑐)=sin⁡(</a:t>
              </a:r>
              <a:r>
                <a:rPr lang="en-US" sz="1100" b="0" i="0" baseline="0">
                  <a:latin typeface="Cambria Math" panose="02040503050406030204" pitchFamily="18" charset="0"/>
                  <a:ea typeface="Cambria Math" panose="02040503050406030204" pitchFamily="18" charset="0"/>
                </a:rPr>
                <a:t>𝛿_</a:t>
              </a:r>
              <a:r>
                <a:rPr lang="en-US" sz="1100" b="0" i="0" baseline="0">
                  <a:latin typeface="Cambria Math" panose="02040503050406030204" pitchFamily="18" charset="0"/>
                </a:rPr>
                <a:t>𝑍 )  cos⁡(𝑍𝐷)+cos⁡(</a:t>
              </a:r>
              <a:r>
                <a:rPr lang="en-US" sz="1100" b="0" i="0" baseline="0">
                  <a:latin typeface="Cambria Math" panose="02040503050406030204" pitchFamily="18" charset="0"/>
                  <a:ea typeface="Cambria Math" panose="02040503050406030204" pitchFamily="18" charset="0"/>
                </a:rPr>
                <a:t>𝛿_</a:t>
              </a:r>
              <a:r>
                <a:rPr lang="en-US" sz="1100" b="0" i="0" baseline="0">
                  <a:latin typeface="Cambria Math" panose="02040503050406030204" pitchFamily="18" charset="0"/>
                </a:rPr>
                <a:t>𝑍 )  sin⁡(𝑍𝐷)cos⁡(</a:t>
              </a:r>
              <a:r>
                <a:rPr lang="en-US" sz="1100" b="0" i="0" baseline="0">
                  <a:latin typeface="Cambria Math" panose="02040503050406030204" pitchFamily="18" charset="0"/>
                  <a:ea typeface="Cambria Math" panose="02040503050406030204" pitchFamily="18" charset="0"/>
                </a:rPr>
                <a:t>𝜃)</a:t>
              </a:r>
              <a:endParaRPr lang="en-US" sz="1100" baseline="0"/>
            </a:p>
            <a:p>
              <a:r>
                <a:rPr lang="en-US" sz="1100" baseline="0"/>
                <a:t>and the four parts formula gives:</a:t>
              </a:r>
            </a:p>
            <a:p>
              <a:pPr/>
              <a:r>
                <a:rPr lang="en-US" sz="1100" b="0" i="0" baseline="0">
                  <a:latin typeface="Cambria Math" panose="02040503050406030204" pitchFamily="18" charset="0"/>
                </a:rPr>
                <a:t>tan⁡(𝑅𝐴−〖𝑅𝐴〗_𝑍 )=(sin⁡(</a:t>
              </a:r>
              <a:r>
                <a:rPr lang="en-US" sz="1100" b="0" i="0" baseline="0">
                  <a:latin typeface="Cambria Math" panose="02040503050406030204" pitchFamily="18" charset="0"/>
                  <a:ea typeface="Cambria Math" panose="02040503050406030204" pitchFamily="18" charset="0"/>
                </a:rPr>
                <a:t>𝜃))/(</a:t>
              </a:r>
              <a:r>
                <a:rPr lang="en-US" sz="1100" b="0" i="0" baseline="0">
                  <a:latin typeface="Cambria Math" panose="02040503050406030204" pitchFamily="18" charset="0"/>
                </a:rPr>
                <a:t>cot⁡(𝑍𝐷)  cos⁡(</a:t>
              </a:r>
              <a:r>
                <a:rPr lang="en-US" sz="1100" b="0" i="0" baseline="0">
                  <a:latin typeface="Cambria Math" panose="02040503050406030204" pitchFamily="18" charset="0"/>
                  <a:ea typeface="Cambria Math" panose="02040503050406030204" pitchFamily="18" charset="0"/>
                </a:rPr>
                <a:t>𝛿_</a:t>
              </a:r>
              <a:r>
                <a:rPr lang="en-US" sz="1100" b="0" i="0" baseline="0">
                  <a:latin typeface="Cambria Math" panose="02040503050406030204" pitchFamily="18" charset="0"/>
                </a:rPr>
                <a:t>𝑍 )−sin⁡(</a:t>
              </a:r>
              <a:r>
                <a:rPr lang="en-US" sz="1100" b="0" i="0" baseline="0">
                  <a:latin typeface="Cambria Math" panose="02040503050406030204" pitchFamily="18" charset="0"/>
                  <a:ea typeface="Cambria Math" panose="02040503050406030204" pitchFamily="18" charset="0"/>
                </a:rPr>
                <a:t>𝛿_</a:t>
              </a:r>
              <a:r>
                <a:rPr lang="en-US" sz="1100" b="0" i="0" baseline="0">
                  <a:latin typeface="Cambria Math" panose="02040503050406030204" pitchFamily="18" charset="0"/>
                </a:rPr>
                <a:t>𝑍 )cos⁡(</a:t>
              </a:r>
              <a:r>
                <a:rPr lang="en-US" sz="1100" b="0" i="0" baseline="0">
                  <a:latin typeface="Cambria Math" panose="02040503050406030204" pitchFamily="18" charset="0"/>
                  <a:ea typeface="Cambria Math" panose="02040503050406030204" pitchFamily="18" charset="0"/>
                </a:rPr>
                <a:t>𝜃))</a:t>
              </a:r>
              <a:endParaRPr lang="en-US" sz="1100" baseline="0"/>
            </a:p>
            <a:p>
              <a:endParaRPr lang="en-US" sz="1100" baseline="0"/>
            </a:p>
            <a:p>
              <a:r>
                <a:rPr lang="en-US" sz="1100" baseline="0"/>
                <a:t>which, in Excel, we unpack using ATAN2(x,y):</a:t>
              </a:r>
            </a:p>
            <a:p>
              <a:endParaRPr lang="en-US" sz="1100" baseline="0"/>
            </a:p>
            <a:p>
              <a:pPr/>
              <a:r>
                <a:rPr lang="en-US" sz="1100" b="0" i="0" baseline="0">
                  <a:latin typeface="Cambria Math" panose="02040503050406030204" pitchFamily="18" charset="0"/>
                </a:rPr>
                <a:t>𝑅𝐴=𝑀𝑂𝐷(〖𝑅𝐴〗_𝑍+180/</a:t>
              </a:r>
              <a:r>
                <a:rPr lang="en-US" sz="1100" b="0" i="0" baseline="0">
                  <a:latin typeface="Cambria Math" panose="02040503050406030204" pitchFamily="18" charset="0"/>
                  <a:ea typeface="Cambria Math" panose="02040503050406030204" pitchFamily="18" charset="0"/>
                </a:rPr>
                <a:t>𝜋 </a:t>
              </a:r>
              <a:r>
                <a:rPr lang="en-US" sz="1100" b="0" i="0" baseline="0">
                  <a:latin typeface="Cambria Math" panose="02040503050406030204" pitchFamily="18" charset="0"/>
                </a:rPr>
                <a:t>𝐴𝑇𝐴𝑁2(cot⁡(𝑍𝐷)  cos⁡(</a:t>
              </a:r>
              <a:r>
                <a:rPr lang="en-US" sz="1100" b="0" i="0" baseline="0">
                  <a:latin typeface="Cambria Math" panose="02040503050406030204" pitchFamily="18" charset="0"/>
                  <a:ea typeface="Cambria Math" panose="02040503050406030204" pitchFamily="18" charset="0"/>
                </a:rPr>
                <a:t>𝛿_</a:t>
              </a:r>
              <a:r>
                <a:rPr lang="en-US" sz="1100" b="0" i="0" baseline="0">
                  <a:latin typeface="Cambria Math" panose="02040503050406030204" pitchFamily="18" charset="0"/>
                </a:rPr>
                <a:t>𝑍 )−sin⁡(</a:t>
              </a:r>
              <a:r>
                <a:rPr lang="en-US" sz="1100" b="0" i="0" baseline="0">
                  <a:latin typeface="Cambria Math" panose="02040503050406030204" pitchFamily="18" charset="0"/>
                  <a:ea typeface="Cambria Math" panose="02040503050406030204" pitchFamily="18" charset="0"/>
                </a:rPr>
                <a:t>𝛿_</a:t>
              </a:r>
              <a:r>
                <a:rPr lang="en-US" sz="1100" b="0" i="0" baseline="0">
                  <a:latin typeface="Cambria Math" panose="02040503050406030204" pitchFamily="18" charset="0"/>
                </a:rPr>
                <a:t>𝑍 )  cos⁡(</a:t>
              </a:r>
              <a:r>
                <a:rPr lang="en-US" sz="1100" b="0" i="0" baseline="0">
                  <a:latin typeface="Cambria Math" panose="02040503050406030204" pitchFamily="18" charset="0"/>
                  <a:ea typeface="Cambria Math" panose="02040503050406030204" pitchFamily="18" charset="0"/>
                </a:rPr>
                <a:t>𝜃),sin⁡(𝜃) ),360)</a:t>
              </a:r>
              <a:endParaRPr lang="en-US" sz="1100" baseline="0"/>
            </a:p>
          </xdr:txBody>
        </xdr:sp>
      </mc:Fallback>
    </mc:AlternateContent>
    <xdr:clientData/>
  </xdr:twoCellAnchor>
  <xdr:oneCellAnchor>
    <xdr:from>
      <xdr:col>21</xdr:col>
      <xdr:colOff>315383</xdr:colOff>
      <xdr:row>13</xdr:row>
      <xdr:rowOff>151341</xdr:rowOff>
    </xdr:from>
    <xdr:ext cx="65" cy="172098"/>
    <xdr:sp macro="" textlink="">
      <xdr:nvSpPr>
        <xdr:cNvPr id="5" name="TextBox 4">
          <a:extLst>
            <a:ext uri="{FF2B5EF4-FFF2-40B4-BE49-F238E27FC236}">
              <a16:creationId xmlns:a16="http://schemas.microsoft.com/office/drawing/2014/main" id="{FB9E9F50-244E-94D2-D444-C20E9F1C87C4}"/>
            </a:ext>
          </a:extLst>
        </xdr:cNvPr>
        <xdr:cNvSpPr txBox="1"/>
      </xdr:nvSpPr>
      <xdr:spPr>
        <a:xfrm>
          <a:off x="15714133" y="2818341"/>
          <a:ext cx="6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3</xdr:col>
      <xdr:colOff>222305</xdr:colOff>
      <xdr:row>1</xdr:row>
      <xdr:rowOff>40105</xdr:rowOff>
    </xdr:from>
    <xdr:to>
      <xdr:col>13</xdr:col>
      <xdr:colOff>73115</xdr:colOff>
      <xdr:row>25</xdr:row>
      <xdr:rowOff>50487</xdr:rowOff>
    </xdr:to>
    <xdr:graphicFrame macro="">
      <xdr:nvGraphicFramePr>
        <xdr:cNvPr id="2" name="Chart 1">
          <a:extLst>
            <a:ext uri="{FF2B5EF4-FFF2-40B4-BE49-F238E27FC236}">
              <a16:creationId xmlns:a16="http://schemas.microsoft.com/office/drawing/2014/main" id="{36D2286C-2AC3-6C48-9D85-88F747C6B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214227</xdr:colOff>
      <xdr:row>25</xdr:row>
      <xdr:rowOff>158749</xdr:rowOff>
    </xdr:from>
    <xdr:to>
      <xdr:col>13</xdr:col>
      <xdr:colOff>73670</xdr:colOff>
      <xdr:row>49</xdr:row>
      <xdr:rowOff>169132</xdr:rowOff>
    </xdr:to>
    <xdr:graphicFrame macro="">
      <xdr:nvGraphicFramePr>
        <xdr:cNvPr id="3" name="Chart 2">
          <a:extLst>
            <a:ext uri="{FF2B5EF4-FFF2-40B4-BE49-F238E27FC236}">
              <a16:creationId xmlns:a16="http://schemas.microsoft.com/office/drawing/2014/main" id="{E6E684FF-7213-704D-A05D-8E686F728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126551</xdr:colOff>
      <xdr:row>1</xdr:row>
      <xdr:rowOff>34090</xdr:rowOff>
    </xdr:from>
    <xdr:to>
      <xdr:col>14</xdr:col>
      <xdr:colOff>2016287</xdr:colOff>
      <xdr:row>25</xdr:row>
      <xdr:rowOff>58300</xdr:rowOff>
    </xdr:to>
    <xdr:graphicFrame macro="">
      <xdr:nvGraphicFramePr>
        <xdr:cNvPr id="4" name="Chart 3">
          <a:extLst>
            <a:ext uri="{FF2B5EF4-FFF2-40B4-BE49-F238E27FC236}">
              <a16:creationId xmlns:a16="http://schemas.microsoft.com/office/drawing/2014/main" id="{B30579A6-E335-EB47-B6B8-CF9B4EBF85F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121999</xdr:colOff>
      <xdr:row>25</xdr:row>
      <xdr:rowOff>156753</xdr:rowOff>
    </xdr:from>
    <xdr:to>
      <xdr:col>14</xdr:col>
      <xdr:colOff>2042474</xdr:colOff>
      <xdr:row>49</xdr:row>
      <xdr:rowOff>193155</xdr:rowOff>
    </xdr:to>
    <xdr:graphicFrame macro="">
      <xdr:nvGraphicFramePr>
        <xdr:cNvPr id="6" name="Chart 5">
          <a:extLst>
            <a:ext uri="{FF2B5EF4-FFF2-40B4-BE49-F238E27FC236}">
              <a16:creationId xmlns:a16="http://schemas.microsoft.com/office/drawing/2014/main" id="{54BD889B-27B5-AD4B-A044-D8EB79C1807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471340</xdr:colOff>
      <xdr:row>51</xdr:row>
      <xdr:rowOff>144020</xdr:rowOff>
    </xdr:from>
    <xdr:to>
      <xdr:col>13</xdr:col>
      <xdr:colOff>1852083</xdr:colOff>
      <xdr:row>80</xdr:row>
      <xdr:rowOff>119062</xdr:rowOff>
    </xdr:to>
    <xdr:sp macro="" textlink="">
      <xdr:nvSpPr>
        <xdr:cNvPr id="5" name="TextBox 4">
          <a:extLst>
            <a:ext uri="{FF2B5EF4-FFF2-40B4-BE49-F238E27FC236}">
              <a16:creationId xmlns:a16="http://schemas.microsoft.com/office/drawing/2014/main" id="{4E571B77-B564-33C8-85F8-1CC61B31C99C}"/>
            </a:ext>
          </a:extLst>
        </xdr:cNvPr>
        <xdr:cNvSpPr txBox="1"/>
      </xdr:nvSpPr>
      <xdr:spPr>
        <a:xfrm>
          <a:off x="2720298" y="10462770"/>
          <a:ext cx="9582827" cy="574295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FF0000"/>
              </a:solidFill>
            </a:rPr>
            <a:t>Instructions:</a:t>
          </a: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t>This sheet is useful to select the optimum slit position angle to match the parallactic angle at a given UT, and to assess the impact of non-ideal slit position angle and poor seeing on spectrophotometry. </a:t>
          </a:r>
          <a:r>
            <a:rPr lang="en-US" sz="1200"/>
            <a:t>It treats a single object in detail, and as usual inputs are in YELLOW</a:t>
          </a:r>
          <a:r>
            <a:rPr lang="en-US" sz="1200" baseline="0"/>
            <a:t>. </a:t>
          </a:r>
        </a:p>
        <a:p>
          <a:endParaRPr lang="en-US" sz="1200" baseline="0"/>
        </a:p>
        <a:p>
          <a:r>
            <a:rPr lang="en-US" sz="1200"/>
            <a:t>1) Copy the object's name, RA &amp; Dec </a:t>
          </a:r>
          <a:r>
            <a:rPr lang="en-US" sz="1200" baseline="0"/>
            <a:t>from  the instrument sheet </a:t>
          </a:r>
          <a:r>
            <a:rPr lang="en-US" sz="1200"/>
            <a:t>(hh.mm &amp; dd.mm</a:t>
          </a:r>
          <a:r>
            <a:rPr lang="en-US" sz="1200" baseline="0"/>
            <a:t>).</a:t>
          </a:r>
        </a:p>
        <a:p>
          <a:endParaRPr lang="en-US" sz="1200" baseline="0"/>
        </a:p>
        <a:p>
          <a:r>
            <a:rPr lang="en-US" sz="1200" baseline="0"/>
            <a:t>The first UT-graph  shows the altitude  (left scale, red line) and parallactic angle (PA, right scale, solid blue line), and PA ± 180 (dashed blue line). The PA is tha angle at the object between the north (NCP) and the zenith: +ve before transit (zenith is east of north) and -ve after transit (zenith is west of north). Atmospheric refraction turns a point source into a little vertical spectrum pointing to the zenith with blue highest. The complementary angle (PA ± 180; pointing vertically down) is also given, since for slit spectroscopy the two are equivalent. </a:t>
          </a:r>
        </a:p>
        <a:p>
          <a:endParaRPr lang="en-US" sz="1200" baseline="0"/>
        </a:p>
        <a:p>
          <a:r>
            <a:rPr lang="en-US" sz="1200" baseline="0"/>
            <a:t>The second UT-plot shows the length of this little spectrum, in arcsec, sampled at 7 wavelengths from 3500A to 9500A (refraction is greater in the blue).  The amount of  refraction depends on the tangent of the zenith distance, so it is least when the object transits and is highest in the sky.</a:t>
          </a:r>
        </a:p>
        <a:p>
          <a:endParaRPr lang="en-US" sz="1200" baseline="0"/>
        </a:p>
        <a:p>
          <a:r>
            <a:rPr lang="en-US" sz="1200" baseline="0"/>
            <a:t>2) Enter a desired (e.g., current) UT in Cell B7 (format: hh.mm). This time is indicated on the two UT-plots, and the PA &amp; PA180 are shown in Cells B14 &amp; B15.</a:t>
          </a:r>
        </a:p>
        <a:p>
          <a:endParaRPr lang="en-US" sz="1200" baseline="0"/>
        </a:p>
        <a:p>
          <a:r>
            <a:rPr lang="en-US" sz="1200" baseline="0"/>
            <a:t>3) Enter the spectrograph slit width (arcsec),  position angle (deg, N-thru-E), the seeing FWHM (arcsec) &amp; the guiding/acquisition wavelength (e.g. sdss- r is 0.62 microns), which is assumed to lie at the mid-line of the slit. These inputs  determine how the slit lies relative to the little spectrum. </a:t>
          </a:r>
        </a:p>
        <a:p>
          <a:endParaRPr lang="en-US" sz="1200" baseline="0"/>
        </a:p>
        <a:p>
          <a:r>
            <a:rPr lang="en-US" sz="1200" baseline="0"/>
            <a:t>The top-right plot shows the relative orientation and length of the spectrum compared to the slit, and four circles show the seeing FWHM at four wavelengths. This image gives a good sense of the impact of seeing and refraction on the observations. The compass shows the various directions, relative to the slit direction, which is always horizontal pointing to the left. </a:t>
          </a:r>
        </a:p>
        <a:p>
          <a:endParaRPr lang="en-US" sz="1200" baseline="0"/>
        </a:p>
        <a:p>
          <a:r>
            <a:rPr lang="en-US" sz="1200" baseline="0"/>
            <a:t>The bottom-right plot shows the fraction of light entering the slit as a function of wavelength. The calculation assumes Gaussian seeing, and integrates within the slit using the "ERF" function. When the slit width and seeing FWHM are equal, the slit accepts 76% of the light. Adjusting the seeing and slit position angle ilustrates how important it is to (a) have good seeing, and (b) align the slit with the PA. Conversely, the slit-loss curve can be used to correct a non-ideal observation for the light lost due to seeing and refraction. </a:t>
          </a:r>
        </a:p>
        <a:p>
          <a:endParaRPr lang="en-US" sz="1100" baseline="0"/>
        </a:p>
      </xdr:txBody>
    </xdr:sp>
    <xdr:clientData/>
  </xdr:twoCellAnchor>
  <xdr:twoCellAnchor>
    <xdr:from>
      <xdr:col>3</xdr:col>
      <xdr:colOff>464889</xdr:colOff>
      <xdr:row>81</xdr:row>
      <xdr:rowOff>175454</xdr:rowOff>
    </xdr:from>
    <xdr:to>
      <xdr:col>13</xdr:col>
      <xdr:colOff>1878541</xdr:colOff>
      <xdr:row>111</xdr:row>
      <xdr:rowOff>132292</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E5500B7-DE26-023E-4D48-A648B392F5A4}"/>
                </a:ext>
              </a:extLst>
            </xdr:cNvPr>
            <xdr:cNvSpPr txBox="1"/>
          </xdr:nvSpPr>
          <xdr:spPr>
            <a:xfrm>
              <a:off x="2713847" y="16460558"/>
              <a:ext cx="9615736" cy="590996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FF0000"/>
                  </a:solidFill>
                </a:rPr>
                <a:t>Method</a:t>
              </a:r>
              <a:endParaRPr lang="en-US" sz="1800">
                <a:solidFill>
                  <a:schemeClr val="dk1"/>
                </a:solidFill>
                <a:effectLst/>
                <a:latin typeface="+mn-lt"/>
                <a:ea typeface="+mn-ea"/>
                <a:cs typeface="+mn-cs"/>
              </a:endParaRPr>
            </a:p>
            <a:p>
              <a:r>
                <a:rPr lang="en-US" sz="1200">
                  <a:solidFill>
                    <a:schemeClr val="dk1"/>
                  </a:solidFill>
                  <a:effectLst/>
                  <a:latin typeface="+mn-lt"/>
                  <a:ea typeface="+mn-ea"/>
                  <a:cs typeface="+mn-cs"/>
                </a:rPr>
                <a:t>Atmospheric refraction is:</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	R = F</a:t>
              </a:r>
              <a:r>
                <a:rPr lang="en-US" sz="1200" baseline="-25000">
                  <a:solidFill>
                    <a:schemeClr val="dk1"/>
                  </a:solidFill>
                  <a:effectLst/>
                  <a:latin typeface="+mn-lt"/>
                  <a:ea typeface="+mn-ea"/>
                  <a:cs typeface="+mn-cs"/>
                </a:rPr>
                <a:t>atm</a:t>
              </a:r>
              <a:r>
                <a:rPr lang="en-US" sz="1200">
                  <a:solidFill>
                    <a:schemeClr val="dk1"/>
                  </a:solidFill>
                  <a:effectLst/>
                  <a:latin typeface="+mn-lt"/>
                  <a:ea typeface="+mn-ea"/>
                  <a:cs typeface="+mn-cs"/>
                </a:rPr>
                <a:t> </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 206265 </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 (n(</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 – 1) </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 tan ZD</a:t>
              </a:r>
              <a:r>
                <a:rPr lang="en-US" sz="1200" baseline="0">
                  <a:solidFill>
                    <a:schemeClr val="dk1"/>
                  </a:solidFill>
                  <a:effectLst/>
                  <a:latin typeface="+mn-lt"/>
                  <a:ea typeface="+mn-ea"/>
                  <a:cs typeface="+mn-cs"/>
                </a:rPr>
                <a:t>    arcsec,     where </a:t>
              </a:r>
              <a:r>
                <a:rPr lang="en-US" sz="1200">
                  <a:solidFill>
                    <a:schemeClr val="dk1"/>
                  </a:solidFill>
                  <a:effectLst/>
                  <a:latin typeface="+mn-lt"/>
                  <a:ea typeface="+mn-ea"/>
                  <a:cs typeface="+mn-cs"/>
                </a:rPr>
                <a:t>F</a:t>
              </a:r>
              <a:r>
                <a:rPr lang="en-US" sz="1200" baseline="-25000">
                  <a:solidFill>
                    <a:schemeClr val="dk1"/>
                  </a:solidFill>
                  <a:effectLst/>
                  <a:latin typeface="+mn-lt"/>
                  <a:ea typeface="+mn-ea"/>
                  <a:cs typeface="+mn-cs"/>
                </a:rPr>
                <a:t>atm</a:t>
              </a:r>
              <a:r>
                <a:rPr lang="en-US" sz="1200" baseline="0">
                  <a:solidFill>
                    <a:schemeClr val="dk1"/>
                  </a:solidFill>
                  <a:effectLst/>
                  <a:latin typeface="+mn-lt"/>
                  <a:ea typeface="+mn-ea"/>
                  <a:cs typeface="+mn-cs"/>
                </a:rPr>
                <a:t> corrects for a non-standard atmosphere, ZD is zenith distance, n is refrac. index.</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At standard conditions (101 kPa &amp; 15 C, </a:t>
              </a:r>
              <a:r>
                <a:rPr lang="en-US" sz="1200">
                  <a:solidFill>
                    <a:schemeClr val="dk1"/>
                  </a:solidFill>
                  <a:effectLst/>
                  <a:latin typeface="+mn-lt"/>
                  <a:ea typeface="+mn-ea"/>
                  <a:cs typeface="+mn-cs"/>
                </a:rPr>
                <a:t> F</a:t>
              </a:r>
              <a:r>
                <a:rPr lang="en-US" sz="1200" baseline="-25000">
                  <a:solidFill>
                    <a:schemeClr val="dk1"/>
                  </a:solidFill>
                  <a:effectLst/>
                  <a:latin typeface="+mn-lt"/>
                  <a:ea typeface="+mn-ea"/>
                  <a:cs typeface="+mn-cs"/>
                </a:rPr>
                <a:t>atm</a:t>
              </a:r>
              <a:r>
                <a:rPr lang="en-US" sz="1200">
                  <a:solidFill>
                    <a:schemeClr val="dk1"/>
                  </a:solidFill>
                  <a:effectLst/>
                  <a:latin typeface="+mn-lt"/>
                  <a:ea typeface="+mn-ea"/>
                  <a:cs typeface="+mn-cs"/>
                </a:rPr>
                <a:t> = 1</a:t>
              </a:r>
              <a:r>
                <a:rPr lang="en-US" sz="1200" baseline="0">
                  <a:solidFill>
                    <a:schemeClr val="dk1"/>
                  </a:solidFill>
                  <a:effectLst/>
                  <a:latin typeface="+mn-lt"/>
                  <a:ea typeface="+mn-ea"/>
                  <a:cs typeface="+mn-cs"/>
                </a:rPr>
                <a:t>),  the refractive index is:</a:t>
              </a:r>
            </a:p>
            <a:p>
              <a:endParaRPr lang="en-US"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	</a:t>
              </a:r>
              <a14:m>
                <m:oMath xmlns:m="http://schemas.openxmlformats.org/officeDocument/2006/math">
                  <m:d>
                    <m:dPr>
                      <m:ctrlPr>
                        <a:rPr lang="en-US" sz="1200" i="1">
                          <a:solidFill>
                            <a:schemeClr val="dk1"/>
                          </a:solidFill>
                          <a:effectLst/>
                          <a:latin typeface="Cambria Math" panose="02040503050406030204" pitchFamily="18" charset="0"/>
                          <a:ea typeface="+mn-ea"/>
                          <a:cs typeface="+mn-cs"/>
                        </a:rPr>
                      </m:ctrlPr>
                    </m:dPr>
                    <m:e>
                      <m:r>
                        <a:rPr lang="en-US" sz="1200" i="1">
                          <a:solidFill>
                            <a:schemeClr val="dk1"/>
                          </a:solidFill>
                          <a:effectLst/>
                          <a:latin typeface="Cambria Math" panose="02040503050406030204" pitchFamily="18" charset="0"/>
                          <a:ea typeface="+mn-ea"/>
                          <a:cs typeface="+mn-cs"/>
                        </a:rPr>
                        <m:t>𝑛</m:t>
                      </m:r>
                      <m:d>
                        <m:dPr>
                          <m:ctrlPr>
                            <a:rPr lang="en-US" sz="1200" i="1">
                              <a:solidFill>
                                <a:schemeClr val="dk1"/>
                              </a:solidFill>
                              <a:effectLst/>
                              <a:latin typeface="Cambria Math" panose="02040503050406030204" pitchFamily="18" charset="0"/>
                              <a:ea typeface="+mn-ea"/>
                              <a:cs typeface="+mn-cs"/>
                            </a:rPr>
                          </m:ctrlPr>
                        </m:dPr>
                        <m:e>
                          <m:r>
                            <a:rPr lang="en-US" sz="1200" i="1">
                              <a:solidFill>
                                <a:schemeClr val="dk1"/>
                              </a:solidFill>
                              <a:effectLst/>
                              <a:latin typeface="Cambria Math" panose="02040503050406030204" pitchFamily="18" charset="0"/>
                              <a:ea typeface="+mn-ea"/>
                              <a:cs typeface="+mn-cs"/>
                              <a:sym typeface="Symbol" pitchFamily="2" charset="2"/>
                            </a:rPr>
                            <m:t></m:t>
                          </m:r>
                        </m:e>
                      </m:d>
                      <m:r>
                        <a:rPr lang="en-US" sz="1200" i="1">
                          <a:solidFill>
                            <a:schemeClr val="dk1"/>
                          </a:solidFill>
                          <a:effectLst/>
                          <a:latin typeface="Cambria Math" panose="02040503050406030204" pitchFamily="18" charset="0"/>
                          <a:ea typeface="+mn-ea"/>
                          <a:cs typeface="+mn-cs"/>
                        </a:rPr>
                        <m:t>−1</m:t>
                      </m:r>
                    </m:e>
                  </m:d>
                  <m:r>
                    <a:rPr lang="en-US" sz="1200" i="1">
                      <a:solidFill>
                        <a:schemeClr val="dk1"/>
                      </a:solidFill>
                      <a:effectLst/>
                      <a:latin typeface="Cambria Math" panose="02040503050406030204" pitchFamily="18" charset="0"/>
                      <a:ea typeface="+mn-ea"/>
                      <a:cs typeface="+mn-cs"/>
                    </a:rPr>
                    <m:t>=6.433×</m:t>
                  </m:r>
                  <m:sSup>
                    <m:sSupPr>
                      <m:ctrlPr>
                        <a:rPr lang="en-US" sz="1200" i="1">
                          <a:solidFill>
                            <a:schemeClr val="dk1"/>
                          </a:solidFill>
                          <a:effectLst/>
                          <a:latin typeface="Cambria Math" panose="02040503050406030204" pitchFamily="18" charset="0"/>
                          <a:ea typeface="+mn-ea"/>
                          <a:cs typeface="+mn-cs"/>
                        </a:rPr>
                      </m:ctrlPr>
                    </m:sSupPr>
                    <m:e>
                      <m:r>
                        <a:rPr lang="en-US" sz="1200" i="1">
                          <a:solidFill>
                            <a:schemeClr val="dk1"/>
                          </a:solidFill>
                          <a:effectLst/>
                          <a:latin typeface="Cambria Math" panose="02040503050406030204" pitchFamily="18" charset="0"/>
                          <a:ea typeface="+mn-ea"/>
                          <a:cs typeface="+mn-cs"/>
                        </a:rPr>
                        <m:t>10</m:t>
                      </m:r>
                    </m:e>
                    <m:sup>
                      <m:r>
                        <a:rPr lang="en-US" sz="1200" i="1">
                          <a:solidFill>
                            <a:schemeClr val="dk1"/>
                          </a:solidFill>
                          <a:effectLst/>
                          <a:latin typeface="Cambria Math" panose="02040503050406030204" pitchFamily="18" charset="0"/>
                          <a:ea typeface="+mn-ea"/>
                          <a:cs typeface="+mn-cs"/>
                        </a:rPr>
                        <m:t>−5</m:t>
                      </m:r>
                    </m:sup>
                  </m:sSup>
                  <m:r>
                    <a:rPr lang="en-US" sz="1200" i="1">
                      <a:solidFill>
                        <a:schemeClr val="dk1"/>
                      </a:solidFill>
                      <a:effectLst/>
                      <a:latin typeface="Cambria Math" panose="02040503050406030204" pitchFamily="18" charset="0"/>
                      <a:ea typeface="+mn-ea"/>
                      <a:cs typeface="+mn-cs"/>
                    </a:rPr>
                    <m:t>+</m:t>
                  </m:r>
                  <m:f>
                    <m:fPr>
                      <m:ctrlPr>
                        <a:rPr lang="en-US"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0.0295</m:t>
                      </m:r>
                    </m:num>
                    <m:den>
                      <m:r>
                        <a:rPr lang="en-US" sz="1200" i="1">
                          <a:solidFill>
                            <a:schemeClr val="dk1"/>
                          </a:solidFill>
                          <a:effectLst/>
                          <a:latin typeface="Cambria Math" panose="02040503050406030204" pitchFamily="18" charset="0"/>
                          <a:ea typeface="+mn-ea"/>
                          <a:cs typeface="+mn-cs"/>
                        </a:rPr>
                        <m:t>146− </m:t>
                      </m:r>
                      <m:sSubSup>
                        <m:sSubSupPr>
                          <m:ctrlPr>
                            <a:rPr lang="en-US" sz="1200" i="1">
                              <a:solidFill>
                                <a:schemeClr val="dk1"/>
                              </a:solidFill>
                              <a:effectLst/>
                              <a:latin typeface="Cambria Math" panose="02040503050406030204" pitchFamily="18" charset="0"/>
                              <a:ea typeface="+mn-ea"/>
                              <a:cs typeface="+mn-cs"/>
                            </a:rPr>
                          </m:ctrlPr>
                        </m:sSubSupPr>
                        <m:e>
                          <m:r>
                            <a:rPr lang="en-US" sz="1200" i="1">
                              <a:solidFill>
                                <a:schemeClr val="dk1"/>
                              </a:solidFill>
                              <a:effectLst/>
                              <a:latin typeface="Cambria Math" panose="02040503050406030204" pitchFamily="18" charset="0"/>
                              <a:ea typeface="+mn-ea"/>
                              <a:cs typeface="+mn-cs"/>
                            </a:rPr>
                            <m:t>𝜆</m:t>
                          </m:r>
                        </m:e>
                        <m:sub>
                          <m:r>
                            <a:rPr lang="en-US" sz="1200" i="1">
                              <a:solidFill>
                                <a:schemeClr val="dk1"/>
                              </a:solidFill>
                              <a:effectLst/>
                              <a:latin typeface="Cambria Math" panose="02040503050406030204" pitchFamily="18" charset="0"/>
                              <a:ea typeface="+mn-ea"/>
                              <a:cs typeface="+mn-cs"/>
                            </a:rPr>
                            <m:t>𝜇</m:t>
                          </m:r>
                        </m:sub>
                        <m:sup>
                          <m:r>
                            <a:rPr lang="en-US" sz="1200" i="1">
                              <a:solidFill>
                                <a:schemeClr val="dk1"/>
                              </a:solidFill>
                              <a:effectLst/>
                              <a:latin typeface="Cambria Math" panose="02040503050406030204" pitchFamily="18" charset="0"/>
                              <a:ea typeface="+mn-ea"/>
                              <a:cs typeface="+mn-cs"/>
                            </a:rPr>
                            <m:t>−2</m:t>
                          </m:r>
                        </m:sup>
                      </m:sSubSup>
                    </m:den>
                  </m:f>
                  <m:r>
                    <a:rPr lang="en-US" sz="1200" i="1">
                      <a:solidFill>
                        <a:schemeClr val="dk1"/>
                      </a:solidFill>
                      <a:effectLst/>
                      <a:latin typeface="Cambria Math" panose="02040503050406030204" pitchFamily="18" charset="0"/>
                      <a:ea typeface="+mn-ea"/>
                      <a:cs typeface="+mn-cs"/>
                    </a:rPr>
                    <m:t>+</m:t>
                  </m:r>
                  <m:f>
                    <m:fPr>
                      <m:ctrlPr>
                        <a:rPr lang="en-US"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0.000255</m:t>
                      </m:r>
                    </m:num>
                    <m:den>
                      <m:r>
                        <a:rPr lang="en-US" sz="1200" i="1">
                          <a:solidFill>
                            <a:schemeClr val="dk1"/>
                          </a:solidFill>
                          <a:effectLst/>
                          <a:latin typeface="Cambria Math" panose="02040503050406030204" pitchFamily="18" charset="0"/>
                          <a:ea typeface="+mn-ea"/>
                          <a:cs typeface="+mn-cs"/>
                        </a:rPr>
                        <m:t>41− </m:t>
                      </m:r>
                      <m:sSubSup>
                        <m:sSubSupPr>
                          <m:ctrlPr>
                            <a:rPr lang="en-US" sz="1200" i="1">
                              <a:solidFill>
                                <a:schemeClr val="dk1"/>
                              </a:solidFill>
                              <a:effectLst/>
                              <a:latin typeface="Cambria Math" panose="02040503050406030204" pitchFamily="18" charset="0"/>
                              <a:ea typeface="+mn-ea"/>
                              <a:cs typeface="+mn-cs"/>
                            </a:rPr>
                          </m:ctrlPr>
                        </m:sSubSupPr>
                        <m:e>
                          <m:r>
                            <a:rPr lang="en-US" sz="1200" i="1">
                              <a:solidFill>
                                <a:schemeClr val="dk1"/>
                              </a:solidFill>
                              <a:effectLst/>
                              <a:latin typeface="Cambria Math" panose="02040503050406030204" pitchFamily="18" charset="0"/>
                              <a:ea typeface="+mn-ea"/>
                              <a:cs typeface="+mn-cs"/>
                            </a:rPr>
                            <m:t>𝜆</m:t>
                          </m:r>
                        </m:e>
                        <m:sub>
                          <m:r>
                            <a:rPr lang="en-US" sz="1200" i="1">
                              <a:solidFill>
                                <a:schemeClr val="dk1"/>
                              </a:solidFill>
                              <a:effectLst/>
                              <a:latin typeface="Cambria Math" panose="02040503050406030204" pitchFamily="18" charset="0"/>
                              <a:ea typeface="+mn-ea"/>
                              <a:cs typeface="+mn-cs"/>
                            </a:rPr>
                            <m:t>𝜇</m:t>
                          </m:r>
                        </m:sub>
                        <m:sup>
                          <m:r>
                            <a:rPr lang="en-US" sz="1200" i="1">
                              <a:solidFill>
                                <a:schemeClr val="dk1"/>
                              </a:solidFill>
                              <a:effectLst/>
                              <a:latin typeface="Cambria Math" panose="02040503050406030204" pitchFamily="18" charset="0"/>
                              <a:ea typeface="+mn-ea"/>
                              <a:cs typeface="+mn-cs"/>
                            </a:rPr>
                            <m:t>−2</m:t>
                          </m:r>
                        </m:sup>
                      </m:sSubSup>
                    </m:den>
                  </m:f>
                </m:oMath>
              </a14:m>
              <a:endParaRPr lang="en-US" sz="1200">
                <a:solidFill>
                  <a:schemeClr val="dk1"/>
                </a:solidFill>
                <a:effectLst/>
                <a:latin typeface="+mn-lt"/>
                <a:ea typeface="+mn-ea"/>
                <a:cs typeface="+mn-cs"/>
              </a:endParaRP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Simplifying: the offset between wavelenth  </a:t>
              </a:r>
              <a:r>
                <a:rPr lang="en-US" sz="1200">
                  <a:solidFill>
                    <a:schemeClr val="dk1"/>
                  </a:solidFill>
                  <a:effectLst/>
                  <a:latin typeface="+mn-lt"/>
                  <a:ea typeface="+mn-ea"/>
                  <a:cs typeface="+mn-cs"/>
                  <a:sym typeface="Symbol" pitchFamily="2" charset="2"/>
                </a:rPr>
                <a:t> </a:t>
              </a:r>
              <a:r>
                <a:rPr lang="en-US" sz="1200" baseline="0">
                  <a:solidFill>
                    <a:schemeClr val="dk1"/>
                  </a:solidFill>
                  <a:effectLst/>
                  <a:latin typeface="+mn-lt"/>
                  <a:ea typeface="+mn-ea"/>
                  <a:cs typeface="+mn-cs"/>
                </a:rPr>
                <a:t>and a reference wavelength (e.g., acquisition and/or guiding) is: </a:t>
              </a:r>
            </a:p>
            <a:p>
              <a:endParaRPr lang="en-US"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	Δ</a:t>
              </a:r>
              <a14:m>
                <m:oMath xmlns:m="http://schemas.openxmlformats.org/officeDocument/2006/math">
                  <m:d>
                    <m:dPr>
                      <m:ctrlPr>
                        <a:rPr lang="en-US" sz="1200" i="1">
                          <a:solidFill>
                            <a:schemeClr val="dk1"/>
                          </a:solidFill>
                          <a:effectLst/>
                          <a:latin typeface="Cambria Math" panose="02040503050406030204" pitchFamily="18" charset="0"/>
                          <a:ea typeface="+mn-ea"/>
                          <a:cs typeface="+mn-cs"/>
                        </a:rPr>
                      </m:ctrlPr>
                    </m:dPr>
                    <m:e>
                      <m:r>
                        <a:rPr lang="en-US" sz="1200" i="1">
                          <a:solidFill>
                            <a:schemeClr val="dk1"/>
                          </a:solidFill>
                          <a:effectLst/>
                          <a:latin typeface="Cambria Math" panose="02040503050406030204" pitchFamily="18" charset="0"/>
                          <a:ea typeface="+mn-ea"/>
                          <a:cs typeface="+mn-cs"/>
                          <a:sym typeface="Symbol" pitchFamily="2" charset="2"/>
                        </a:rPr>
                        <m:t></m:t>
                      </m:r>
                    </m:e>
                  </m:d>
                  <m:r>
                    <a:rPr lang="en-US" sz="1200" i="1">
                      <a:solidFill>
                        <a:schemeClr val="dk1"/>
                      </a:solidFill>
                      <a:effectLst/>
                      <a:latin typeface="Cambria Math" panose="02040503050406030204" pitchFamily="18" charset="0"/>
                      <a:ea typeface="+mn-ea"/>
                      <a:cs typeface="+mn-cs"/>
                    </a:rPr>
                    <m:t>=</m:t>
                  </m:r>
                  <m:sSub>
                    <m:sSubPr>
                      <m:ctrlPr>
                        <a:rPr lang="en-US"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𝐹</m:t>
                      </m:r>
                    </m:e>
                    <m:sub>
                      <m:r>
                        <a:rPr lang="en-US" sz="1200" i="1">
                          <a:solidFill>
                            <a:schemeClr val="dk1"/>
                          </a:solidFill>
                          <a:effectLst/>
                          <a:latin typeface="Cambria Math" panose="02040503050406030204" pitchFamily="18" charset="0"/>
                          <a:ea typeface="+mn-ea"/>
                          <a:cs typeface="+mn-cs"/>
                        </a:rPr>
                        <m:t>𝑎𝑡𝑚</m:t>
                      </m:r>
                    </m:sub>
                  </m:sSub>
                  <m:r>
                    <a:rPr lang="en-US" sz="1200" i="1">
                      <a:solidFill>
                        <a:schemeClr val="dk1"/>
                      </a:solidFill>
                      <a:effectLst/>
                      <a:latin typeface="Cambria Math" panose="02040503050406030204" pitchFamily="18" charset="0"/>
                      <a:ea typeface="+mn-ea"/>
                      <a:cs typeface="+mn-cs"/>
                    </a:rPr>
                    <m:t>×</m:t>
                  </m:r>
                  <m:func>
                    <m:funcPr>
                      <m:ctrlPr>
                        <a:rPr lang="en-US" sz="1200" i="1">
                          <a:solidFill>
                            <a:schemeClr val="dk1"/>
                          </a:solidFill>
                          <a:effectLst/>
                          <a:latin typeface="Cambria Math" panose="02040503050406030204" pitchFamily="18" charset="0"/>
                          <a:ea typeface="+mn-ea"/>
                          <a:cs typeface="+mn-cs"/>
                        </a:rPr>
                      </m:ctrlPr>
                    </m:funcPr>
                    <m:fName>
                      <m:r>
                        <m:rPr>
                          <m:sty m:val="p"/>
                        </m:rPr>
                        <a:rPr lang="en-US" sz="1200">
                          <a:solidFill>
                            <a:schemeClr val="dk1"/>
                          </a:solidFill>
                          <a:effectLst/>
                          <a:latin typeface="Cambria Math" panose="02040503050406030204" pitchFamily="18" charset="0"/>
                          <a:ea typeface="+mn-ea"/>
                          <a:cs typeface="+mn-cs"/>
                        </a:rPr>
                        <m:t>tan</m:t>
                      </m:r>
                    </m:fName>
                    <m:e>
                      <m:d>
                        <m:dPr>
                          <m:ctrlPr>
                            <a:rPr lang="en-US" sz="1200" i="1">
                              <a:solidFill>
                                <a:schemeClr val="dk1"/>
                              </a:solidFill>
                              <a:effectLst/>
                              <a:latin typeface="Cambria Math" panose="02040503050406030204" pitchFamily="18" charset="0"/>
                              <a:ea typeface="+mn-ea"/>
                              <a:cs typeface="+mn-cs"/>
                            </a:rPr>
                          </m:ctrlPr>
                        </m:dPr>
                        <m:e>
                          <m:r>
                            <a:rPr lang="en-US" sz="1200" i="1">
                              <a:solidFill>
                                <a:schemeClr val="dk1"/>
                              </a:solidFill>
                              <a:effectLst/>
                              <a:latin typeface="Cambria Math" panose="02040503050406030204" pitchFamily="18" charset="0"/>
                              <a:ea typeface="+mn-ea"/>
                              <a:cs typeface="+mn-cs"/>
                            </a:rPr>
                            <m:t>𝑍𝐷</m:t>
                          </m:r>
                        </m:e>
                      </m:d>
                    </m:e>
                  </m:func>
                  <m:r>
                    <a:rPr lang="en-US" sz="1200" i="1">
                      <a:solidFill>
                        <a:schemeClr val="dk1"/>
                      </a:solidFill>
                      <a:effectLst/>
                      <a:latin typeface="Cambria Math" panose="02040503050406030204" pitchFamily="18" charset="0"/>
                      <a:ea typeface="+mn-ea"/>
                      <a:cs typeface="+mn-cs"/>
                    </a:rPr>
                    <m:t>×</m:t>
                  </m:r>
                  <m:d>
                    <m:dPr>
                      <m:begChr m:val="["/>
                      <m:endChr m:val="]"/>
                      <m:ctrlPr>
                        <a:rPr lang="en-US" sz="1200" i="1">
                          <a:solidFill>
                            <a:schemeClr val="dk1"/>
                          </a:solidFill>
                          <a:effectLst/>
                          <a:latin typeface="Cambria Math" panose="02040503050406030204" pitchFamily="18" charset="0"/>
                          <a:ea typeface="+mn-ea"/>
                          <a:cs typeface="+mn-cs"/>
                        </a:rPr>
                      </m:ctrlPr>
                    </m:dPr>
                    <m:e>
                      <m:d>
                        <m:dPr>
                          <m:ctrlPr>
                            <a:rPr lang="en-US" sz="1200" i="1">
                              <a:solidFill>
                                <a:schemeClr val="dk1"/>
                              </a:solidFill>
                              <a:effectLst/>
                              <a:latin typeface="Cambria Math" panose="02040503050406030204" pitchFamily="18" charset="0"/>
                              <a:ea typeface="+mn-ea"/>
                              <a:cs typeface="+mn-cs"/>
                            </a:rPr>
                          </m:ctrlPr>
                        </m:dPr>
                        <m:e>
                          <m:f>
                            <m:fPr>
                              <m:ctrlPr>
                                <a:rPr lang="en-US"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6085</m:t>
                              </m:r>
                            </m:num>
                            <m:den>
                              <m:sSubSup>
                                <m:sSubSupPr>
                                  <m:ctrlPr>
                                    <a:rPr lang="en-US" sz="1200" i="1">
                                      <a:solidFill>
                                        <a:schemeClr val="dk1"/>
                                      </a:solidFill>
                                      <a:effectLst/>
                                      <a:latin typeface="Cambria Math" panose="02040503050406030204" pitchFamily="18" charset="0"/>
                                      <a:ea typeface="+mn-ea"/>
                                      <a:cs typeface="+mn-cs"/>
                                    </a:rPr>
                                  </m:ctrlPr>
                                </m:sSubSupPr>
                                <m:e>
                                  <m:r>
                                    <a:rPr lang="en-US" sz="1200" i="1">
                                      <a:solidFill>
                                        <a:schemeClr val="dk1"/>
                                      </a:solidFill>
                                      <a:effectLst/>
                                      <a:latin typeface="Cambria Math" panose="02040503050406030204" pitchFamily="18" charset="0"/>
                                      <a:ea typeface="+mn-ea"/>
                                      <a:cs typeface="+mn-cs"/>
                                    </a:rPr>
                                    <m:t>146−</m:t>
                                  </m:r>
                                  <m:r>
                                    <a:rPr lang="en-US" sz="1200" i="1">
                                      <a:solidFill>
                                        <a:schemeClr val="dk1"/>
                                      </a:solidFill>
                                      <a:effectLst/>
                                      <a:latin typeface="Cambria Math" panose="02040503050406030204" pitchFamily="18" charset="0"/>
                                      <a:ea typeface="+mn-ea"/>
                                      <a:cs typeface="+mn-cs"/>
                                    </a:rPr>
                                    <m:t>𝜆</m:t>
                                  </m:r>
                                </m:e>
                                <m:sub>
                                  <m:r>
                                    <a:rPr lang="en-US" sz="1200" i="1">
                                      <a:solidFill>
                                        <a:schemeClr val="dk1"/>
                                      </a:solidFill>
                                      <a:effectLst/>
                                      <a:latin typeface="Cambria Math" panose="02040503050406030204" pitchFamily="18" charset="0"/>
                                      <a:ea typeface="+mn-ea"/>
                                      <a:cs typeface="+mn-cs"/>
                                    </a:rPr>
                                    <m:t>𝜇</m:t>
                                  </m:r>
                                </m:sub>
                                <m:sup>
                                  <m:r>
                                    <a:rPr lang="en-US" sz="1200" i="1">
                                      <a:solidFill>
                                        <a:schemeClr val="dk1"/>
                                      </a:solidFill>
                                      <a:effectLst/>
                                      <a:latin typeface="Cambria Math" panose="02040503050406030204" pitchFamily="18" charset="0"/>
                                      <a:ea typeface="+mn-ea"/>
                                      <a:cs typeface="+mn-cs"/>
                                    </a:rPr>
                                    <m:t>−2</m:t>
                                  </m:r>
                                </m:sup>
                              </m:sSubSup>
                            </m:den>
                          </m:f>
                          <m:r>
                            <a:rPr lang="en-US" sz="1200" i="1">
                              <a:solidFill>
                                <a:schemeClr val="dk1"/>
                              </a:solidFill>
                              <a:effectLst/>
                              <a:latin typeface="Cambria Math" panose="02040503050406030204" pitchFamily="18" charset="0"/>
                              <a:ea typeface="+mn-ea"/>
                              <a:cs typeface="+mn-cs"/>
                            </a:rPr>
                            <m:t>−</m:t>
                          </m:r>
                          <m:f>
                            <m:fPr>
                              <m:ctrlPr>
                                <a:rPr lang="en-US"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6085</m:t>
                              </m:r>
                            </m:num>
                            <m:den>
                              <m:sSubSup>
                                <m:sSubSupPr>
                                  <m:ctrlPr>
                                    <a:rPr lang="en-US" sz="1200" i="1">
                                      <a:solidFill>
                                        <a:schemeClr val="dk1"/>
                                      </a:solidFill>
                                      <a:effectLst/>
                                      <a:latin typeface="Cambria Math" panose="02040503050406030204" pitchFamily="18" charset="0"/>
                                      <a:ea typeface="+mn-ea"/>
                                      <a:cs typeface="+mn-cs"/>
                                    </a:rPr>
                                  </m:ctrlPr>
                                </m:sSubSupPr>
                                <m:e>
                                  <m:r>
                                    <a:rPr lang="en-US" sz="1200" i="1">
                                      <a:solidFill>
                                        <a:schemeClr val="dk1"/>
                                      </a:solidFill>
                                      <a:effectLst/>
                                      <a:latin typeface="Cambria Math" panose="02040503050406030204" pitchFamily="18" charset="0"/>
                                      <a:ea typeface="+mn-ea"/>
                                      <a:cs typeface="+mn-cs"/>
                                    </a:rPr>
                                    <m:t>146−</m:t>
                                  </m:r>
                                  <m:r>
                                    <a:rPr lang="en-US" sz="1200" i="1">
                                      <a:solidFill>
                                        <a:schemeClr val="dk1"/>
                                      </a:solidFill>
                                      <a:effectLst/>
                                      <a:latin typeface="Cambria Math" panose="02040503050406030204" pitchFamily="18" charset="0"/>
                                      <a:ea typeface="+mn-ea"/>
                                      <a:cs typeface="+mn-cs"/>
                                    </a:rPr>
                                    <m:t>𝜆</m:t>
                                  </m:r>
                                </m:e>
                                <m:sub>
                                  <m:r>
                                    <a:rPr lang="en-US" sz="1200" i="1">
                                      <a:solidFill>
                                        <a:schemeClr val="dk1"/>
                                      </a:solidFill>
                                      <a:effectLst/>
                                      <a:latin typeface="Cambria Math" panose="02040503050406030204" pitchFamily="18" charset="0"/>
                                      <a:ea typeface="+mn-ea"/>
                                      <a:cs typeface="+mn-cs"/>
                                    </a:rPr>
                                    <m:t>𝑟𝑒𝑓</m:t>
                                  </m:r>
                                  <m:r>
                                    <a:rPr lang="en-US" sz="1200" i="1">
                                      <a:solidFill>
                                        <a:schemeClr val="dk1"/>
                                      </a:solidFill>
                                      <a:effectLst/>
                                      <a:latin typeface="Cambria Math" panose="02040503050406030204" pitchFamily="18" charset="0"/>
                                      <a:ea typeface="+mn-ea"/>
                                      <a:cs typeface="+mn-cs"/>
                                    </a:rPr>
                                    <m:t>,</m:t>
                                  </m:r>
                                  <m:r>
                                    <a:rPr lang="en-US" sz="1200" i="1">
                                      <a:solidFill>
                                        <a:schemeClr val="dk1"/>
                                      </a:solidFill>
                                      <a:effectLst/>
                                      <a:latin typeface="Cambria Math" panose="02040503050406030204" pitchFamily="18" charset="0"/>
                                      <a:ea typeface="+mn-ea"/>
                                      <a:cs typeface="+mn-cs"/>
                                    </a:rPr>
                                    <m:t>𝜇</m:t>
                                  </m:r>
                                </m:sub>
                                <m:sup>
                                  <m:r>
                                    <a:rPr lang="en-US" sz="1200" i="1">
                                      <a:solidFill>
                                        <a:schemeClr val="dk1"/>
                                      </a:solidFill>
                                      <a:effectLst/>
                                      <a:latin typeface="Cambria Math" panose="02040503050406030204" pitchFamily="18" charset="0"/>
                                      <a:ea typeface="+mn-ea"/>
                                      <a:cs typeface="+mn-cs"/>
                                    </a:rPr>
                                    <m:t>−2</m:t>
                                  </m:r>
                                </m:sup>
                              </m:sSubSup>
                            </m:den>
                          </m:f>
                        </m:e>
                      </m:d>
                      <m:r>
                        <a:rPr lang="en-US" sz="1200" i="1">
                          <a:solidFill>
                            <a:schemeClr val="dk1"/>
                          </a:solidFill>
                          <a:effectLst/>
                          <a:latin typeface="Cambria Math" panose="02040503050406030204" pitchFamily="18" charset="0"/>
                          <a:ea typeface="+mn-ea"/>
                          <a:cs typeface="+mn-cs"/>
                        </a:rPr>
                        <m:t>+</m:t>
                      </m:r>
                      <m:d>
                        <m:dPr>
                          <m:ctrlPr>
                            <a:rPr lang="en-US" sz="1200" i="1">
                              <a:solidFill>
                                <a:schemeClr val="dk1"/>
                              </a:solidFill>
                              <a:effectLst/>
                              <a:latin typeface="Cambria Math" panose="02040503050406030204" pitchFamily="18" charset="0"/>
                              <a:ea typeface="+mn-ea"/>
                              <a:cs typeface="+mn-cs"/>
                            </a:rPr>
                          </m:ctrlPr>
                        </m:dPr>
                        <m:e>
                          <m:f>
                            <m:fPr>
                              <m:ctrlPr>
                                <a:rPr lang="en-US"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52.6</m:t>
                              </m:r>
                            </m:num>
                            <m:den>
                              <m:sSubSup>
                                <m:sSubSupPr>
                                  <m:ctrlPr>
                                    <a:rPr lang="en-US" sz="1200" i="1">
                                      <a:solidFill>
                                        <a:schemeClr val="dk1"/>
                                      </a:solidFill>
                                      <a:effectLst/>
                                      <a:latin typeface="Cambria Math" panose="02040503050406030204" pitchFamily="18" charset="0"/>
                                      <a:ea typeface="+mn-ea"/>
                                      <a:cs typeface="+mn-cs"/>
                                    </a:rPr>
                                  </m:ctrlPr>
                                </m:sSubSupPr>
                                <m:e>
                                  <m:r>
                                    <a:rPr lang="en-US" sz="1200" i="1">
                                      <a:solidFill>
                                        <a:schemeClr val="dk1"/>
                                      </a:solidFill>
                                      <a:effectLst/>
                                      <a:latin typeface="Cambria Math" panose="02040503050406030204" pitchFamily="18" charset="0"/>
                                      <a:ea typeface="+mn-ea"/>
                                      <a:cs typeface="+mn-cs"/>
                                    </a:rPr>
                                    <m:t>41−</m:t>
                                  </m:r>
                                  <m:r>
                                    <a:rPr lang="en-US" sz="1200" i="1">
                                      <a:solidFill>
                                        <a:schemeClr val="dk1"/>
                                      </a:solidFill>
                                      <a:effectLst/>
                                      <a:latin typeface="Cambria Math" panose="02040503050406030204" pitchFamily="18" charset="0"/>
                                      <a:ea typeface="+mn-ea"/>
                                      <a:cs typeface="+mn-cs"/>
                                    </a:rPr>
                                    <m:t>𝜆</m:t>
                                  </m:r>
                                </m:e>
                                <m:sub>
                                  <m:r>
                                    <a:rPr lang="en-US" sz="1200" i="1">
                                      <a:solidFill>
                                        <a:schemeClr val="dk1"/>
                                      </a:solidFill>
                                      <a:effectLst/>
                                      <a:latin typeface="Cambria Math" panose="02040503050406030204" pitchFamily="18" charset="0"/>
                                      <a:ea typeface="+mn-ea"/>
                                      <a:cs typeface="+mn-cs"/>
                                    </a:rPr>
                                    <m:t>𝜇</m:t>
                                  </m:r>
                                </m:sub>
                                <m:sup>
                                  <m:r>
                                    <a:rPr lang="en-US" sz="1200" i="1">
                                      <a:solidFill>
                                        <a:schemeClr val="dk1"/>
                                      </a:solidFill>
                                      <a:effectLst/>
                                      <a:latin typeface="Cambria Math" panose="02040503050406030204" pitchFamily="18" charset="0"/>
                                      <a:ea typeface="+mn-ea"/>
                                      <a:cs typeface="+mn-cs"/>
                                    </a:rPr>
                                    <m:t>−2</m:t>
                                  </m:r>
                                </m:sup>
                              </m:sSubSup>
                            </m:den>
                          </m:f>
                          <m:r>
                            <a:rPr lang="en-US" sz="1200" i="1">
                              <a:solidFill>
                                <a:schemeClr val="dk1"/>
                              </a:solidFill>
                              <a:effectLst/>
                              <a:latin typeface="Cambria Math" panose="02040503050406030204" pitchFamily="18" charset="0"/>
                              <a:ea typeface="+mn-ea"/>
                              <a:cs typeface="+mn-cs"/>
                            </a:rPr>
                            <m:t>−</m:t>
                          </m:r>
                          <m:f>
                            <m:fPr>
                              <m:ctrlPr>
                                <a:rPr lang="en-US"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52.6</m:t>
                              </m:r>
                            </m:num>
                            <m:den>
                              <m:sSubSup>
                                <m:sSubSupPr>
                                  <m:ctrlPr>
                                    <a:rPr lang="en-US" sz="1200" i="1">
                                      <a:solidFill>
                                        <a:schemeClr val="dk1"/>
                                      </a:solidFill>
                                      <a:effectLst/>
                                      <a:latin typeface="Cambria Math" panose="02040503050406030204" pitchFamily="18" charset="0"/>
                                      <a:ea typeface="+mn-ea"/>
                                      <a:cs typeface="+mn-cs"/>
                                    </a:rPr>
                                  </m:ctrlPr>
                                </m:sSubSupPr>
                                <m:e>
                                  <m:r>
                                    <a:rPr lang="en-US" sz="1200" i="1">
                                      <a:solidFill>
                                        <a:schemeClr val="dk1"/>
                                      </a:solidFill>
                                      <a:effectLst/>
                                      <a:latin typeface="Cambria Math" panose="02040503050406030204" pitchFamily="18" charset="0"/>
                                      <a:ea typeface="+mn-ea"/>
                                      <a:cs typeface="+mn-cs"/>
                                    </a:rPr>
                                    <m:t>41−</m:t>
                                  </m:r>
                                  <m:r>
                                    <a:rPr lang="en-US" sz="1200" i="1">
                                      <a:solidFill>
                                        <a:schemeClr val="dk1"/>
                                      </a:solidFill>
                                      <a:effectLst/>
                                      <a:latin typeface="Cambria Math" panose="02040503050406030204" pitchFamily="18" charset="0"/>
                                      <a:ea typeface="+mn-ea"/>
                                      <a:cs typeface="+mn-cs"/>
                                    </a:rPr>
                                    <m:t>𝜆</m:t>
                                  </m:r>
                                </m:e>
                                <m:sub>
                                  <m:r>
                                    <a:rPr lang="en-US" sz="1200" i="1">
                                      <a:solidFill>
                                        <a:schemeClr val="dk1"/>
                                      </a:solidFill>
                                      <a:effectLst/>
                                      <a:latin typeface="Cambria Math" panose="02040503050406030204" pitchFamily="18" charset="0"/>
                                      <a:ea typeface="+mn-ea"/>
                                      <a:cs typeface="+mn-cs"/>
                                    </a:rPr>
                                    <m:t>𝑟𝑒𝑓</m:t>
                                  </m:r>
                                  <m:r>
                                    <a:rPr lang="en-US" sz="1200" i="1">
                                      <a:solidFill>
                                        <a:schemeClr val="dk1"/>
                                      </a:solidFill>
                                      <a:effectLst/>
                                      <a:latin typeface="Cambria Math" panose="02040503050406030204" pitchFamily="18" charset="0"/>
                                      <a:ea typeface="+mn-ea"/>
                                      <a:cs typeface="+mn-cs"/>
                                    </a:rPr>
                                    <m:t>,</m:t>
                                  </m:r>
                                  <m:r>
                                    <a:rPr lang="en-US" sz="1200" i="1">
                                      <a:solidFill>
                                        <a:schemeClr val="dk1"/>
                                      </a:solidFill>
                                      <a:effectLst/>
                                      <a:latin typeface="Cambria Math" panose="02040503050406030204" pitchFamily="18" charset="0"/>
                                      <a:ea typeface="+mn-ea"/>
                                      <a:cs typeface="+mn-cs"/>
                                    </a:rPr>
                                    <m:t>𝜇</m:t>
                                  </m:r>
                                </m:sub>
                                <m:sup>
                                  <m:r>
                                    <a:rPr lang="en-US" sz="1200" i="1">
                                      <a:solidFill>
                                        <a:schemeClr val="dk1"/>
                                      </a:solidFill>
                                      <a:effectLst/>
                                      <a:latin typeface="Cambria Math" panose="02040503050406030204" pitchFamily="18" charset="0"/>
                                      <a:ea typeface="+mn-ea"/>
                                      <a:cs typeface="+mn-cs"/>
                                    </a:rPr>
                                    <m:t>−2</m:t>
                                  </m:r>
                                </m:sup>
                              </m:sSubSup>
                            </m:den>
                          </m:f>
                        </m:e>
                      </m:d>
                    </m:e>
                  </m:d>
                </m:oMath>
              </a14:m>
              <a:r>
                <a:rPr lang="en-US" sz="1200">
                  <a:solidFill>
                    <a:schemeClr val="dk1"/>
                  </a:solidFill>
                  <a:effectLst/>
                  <a:latin typeface="+mn-lt"/>
                  <a:ea typeface="+mn-ea"/>
                  <a:cs typeface="+mn-cs"/>
                </a:rPr>
                <a:t>   arcsec</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where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	</a:t>
              </a:r>
              <a14:m>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𝐹</m:t>
                      </m:r>
                    </m:e>
                    <m:sub>
                      <m:r>
                        <a:rPr lang="en-US" sz="1200" i="1">
                          <a:solidFill>
                            <a:schemeClr val="dk1"/>
                          </a:solidFill>
                          <a:effectLst/>
                          <a:latin typeface="Cambria Math" panose="02040503050406030204" pitchFamily="18" charset="0"/>
                          <a:ea typeface="+mn-ea"/>
                          <a:cs typeface="+mn-cs"/>
                        </a:rPr>
                        <m:t>𝑎𝑡𝑚</m:t>
                      </m:r>
                    </m:sub>
                  </m:sSub>
                  <m:r>
                    <a:rPr lang="en-US" sz="1200" i="1">
                      <a:solidFill>
                        <a:schemeClr val="dk1"/>
                      </a:solidFill>
                      <a:effectLst/>
                      <a:latin typeface="Cambria Math" panose="02040503050406030204" pitchFamily="18" charset="0"/>
                      <a:ea typeface="+mn-ea"/>
                      <a:cs typeface="+mn-cs"/>
                    </a:rPr>
                    <m:t>=</m:t>
                  </m:r>
                  <m:r>
                    <m:rPr>
                      <m:sty m:val="p"/>
                    </m:rPr>
                    <a:rPr lang="en-US" sz="1200">
                      <a:solidFill>
                        <a:schemeClr val="dk1"/>
                      </a:solidFill>
                      <a:effectLst/>
                      <a:latin typeface="Cambria Math" panose="02040503050406030204" pitchFamily="18" charset="0"/>
                      <a:ea typeface="+mn-ea"/>
                      <a:cs typeface="+mn-cs"/>
                    </a:rPr>
                    <m:t>exp</m:t>
                  </m:r>
                  <m:r>
                    <a:rPr lang="en-US" sz="1200" i="1">
                      <a:solidFill>
                        <a:schemeClr val="dk1"/>
                      </a:solidFill>
                      <a:effectLst/>
                      <a:latin typeface="Cambria Math" panose="02040503050406030204" pitchFamily="18" charset="0"/>
                      <a:ea typeface="+mn-ea"/>
                      <a:cs typeface="+mn-cs"/>
                    </a:rPr>
                    <m:t>(−</m:t>
                  </m:r>
                  <m:f>
                    <m:fPr>
                      <m:ctrlPr>
                        <a:rPr lang="en-US" sz="1200" i="1">
                          <a:solidFill>
                            <a:schemeClr val="dk1"/>
                          </a:solidFill>
                          <a:effectLst/>
                          <a:latin typeface="Cambria Math" panose="02040503050406030204" pitchFamily="18" charset="0"/>
                          <a:ea typeface="+mn-ea"/>
                          <a:cs typeface="+mn-cs"/>
                        </a:rPr>
                      </m:ctrlPr>
                    </m:fPr>
                    <m:num>
                      <m:sSub>
                        <m:sSubPr>
                          <m:ctrlPr>
                            <a:rPr lang="en-US"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𝐻𝑡</m:t>
                          </m:r>
                        </m:e>
                        <m:sub>
                          <m:r>
                            <a:rPr lang="en-US" sz="1200" i="1">
                              <a:solidFill>
                                <a:schemeClr val="dk1"/>
                              </a:solidFill>
                              <a:effectLst/>
                              <a:latin typeface="Cambria Math" panose="02040503050406030204" pitchFamily="18" charset="0"/>
                              <a:ea typeface="+mn-ea"/>
                              <a:cs typeface="+mn-cs"/>
                            </a:rPr>
                            <m:t>𝑚</m:t>
                          </m:r>
                        </m:sub>
                      </m:sSub>
                    </m:num>
                    <m:den>
                      <m:r>
                        <a:rPr lang="en-US" sz="1200" i="1">
                          <a:solidFill>
                            <a:schemeClr val="dk1"/>
                          </a:solidFill>
                          <a:effectLst/>
                          <a:latin typeface="Cambria Math" panose="02040503050406030204" pitchFamily="18" charset="0"/>
                          <a:ea typeface="+mn-ea"/>
                          <a:cs typeface="+mn-cs"/>
                        </a:rPr>
                        <m:t>8400</m:t>
                      </m:r>
                    </m:den>
                  </m:f>
                  <m:r>
                    <a:rPr lang="en-US" sz="1200" i="1">
                      <a:solidFill>
                        <a:schemeClr val="dk1"/>
                      </a:solidFill>
                      <a:effectLst/>
                      <a:latin typeface="Cambria Math" panose="02040503050406030204" pitchFamily="18" charset="0"/>
                      <a:ea typeface="+mn-ea"/>
                      <a:cs typeface="+mn-cs"/>
                    </a:rPr>
                    <m:t>)×</m:t>
                  </m:r>
                  <m:f>
                    <m:fPr>
                      <m:ctrlPr>
                        <a:rPr lang="en-US" sz="1200" i="1">
                          <a:solidFill>
                            <a:schemeClr val="dk1"/>
                          </a:solidFill>
                          <a:effectLst/>
                          <a:latin typeface="Cambria Math" panose="02040503050406030204" pitchFamily="18" charset="0"/>
                          <a:ea typeface="+mn-ea"/>
                          <a:cs typeface="+mn-cs"/>
                        </a:rPr>
                      </m:ctrlPr>
                    </m:fPr>
                    <m:num>
                      <m:r>
                        <a:rPr lang="en-US" sz="1200" i="1">
                          <a:solidFill>
                            <a:schemeClr val="dk1"/>
                          </a:solidFill>
                          <a:effectLst/>
                          <a:latin typeface="Cambria Math" panose="02040503050406030204" pitchFamily="18" charset="0"/>
                          <a:ea typeface="+mn-ea"/>
                          <a:cs typeface="+mn-cs"/>
                        </a:rPr>
                        <m:t>288</m:t>
                      </m:r>
                    </m:num>
                    <m:den>
                      <m:r>
                        <a:rPr lang="en-US" sz="1200" i="1">
                          <a:solidFill>
                            <a:schemeClr val="dk1"/>
                          </a:solidFill>
                          <a:effectLst/>
                          <a:latin typeface="Cambria Math" panose="02040503050406030204" pitchFamily="18" charset="0"/>
                          <a:ea typeface="+mn-ea"/>
                          <a:cs typeface="+mn-cs"/>
                        </a:rPr>
                        <m:t>(273+</m:t>
                      </m:r>
                      <m:sSub>
                        <m:sSubPr>
                          <m:ctrlPr>
                            <a:rPr lang="en-US" sz="1200" i="1">
                              <a:solidFill>
                                <a:schemeClr val="dk1"/>
                              </a:solidFill>
                              <a:effectLst/>
                              <a:latin typeface="Cambria Math" panose="02040503050406030204" pitchFamily="18" charset="0"/>
                              <a:ea typeface="+mn-ea"/>
                              <a:cs typeface="+mn-cs"/>
                            </a:rPr>
                          </m:ctrlPr>
                        </m:sSubPr>
                        <m:e>
                          <m:r>
                            <a:rPr lang="en-US" sz="1200" i="1">
                              <a:solidFill>
                                <a:schemeClr val="dk1"/>
                              </a:solidFill>
                              <a:effectLst/>
                              <a:latin typeface="Cambria Math" panose="02040503050406030204" pitchFamily="18" charset="0"/>
                              <a:ea typeface="+mn-ea"/>
                              <a:cs typeface="+mn-cs"/>
                            </a:rPr>
                            <m:t>𝑇</m:t>
                          </m:r>
                        </m:e>
                        <m:sub>
                          <m:r>
                            <a:rPr lang="en-US" sz="1200" i="1">
                              <a:solidFill>
                                <a:schemeClr val="dk1"/>
                              </a:solidFill>
                              <a:effectLst/>
                              <a:latin typeface="Cambria Math" panose="02040503050406030204" pitchFamily="18" charset="0"/>
                              <a:ea typeface="+mn-ea"/>
                              <a:cs typeface="+mn-cs"/>
                            </a:rPr>
                            <m:t>𝐶</m:t>
                          </m:r>
                        </m:sub>
                      </m:sSub>
                      <m:r>
                        <a:rPr lang="en-US" sz="1200" i="1">
                          <a:solidFill>
                            <a:schemeClr val="dk1"/>
                          </a:solidFill>
                          <a:effectLst/>
                          <a:latin typeface="Cambria Math" panose="02040503050406030204" pitchFamily="18" charset="0"/>
                          <a:ea typeface="+mn-ea"/>
                          <a:cs typeface="+mn-cs"/>
                        </a:rPr>
                        <m:t>)</m:t>
                      </m:r>
                    </m:den>
                  </m:f>
                </m:oMath>
              </a14:m>
              <a:r>
                <a:rPr lang="en-US" sz="1200">
                  <a:solidFill>
                    <a:schemeClr val="dk1"/>
                  </a:solidFill>
                  <a:effectLst/>
                  <a:latin typeface="+mn-lt"/>
                  <a:ea typeface="+mn-ea"/>
                  <a:cs typeface="+mn-cs"/>
                </a:rPr>
                <a:t>   tracks the changing density of air with elevation</a:t>
              </a:r>
              <a:r>
                <a:rPr lang="en-US" sz="1200" baseline="0">
                  <a:solidFill>
                    <a:schemeClr val="dk1"/>
                  </a:solidFill>
                  <a:effectLst/>
                  <a:latin typeface="+mn-lt"/>
                  <a:ea typeface="+mn-ea"/>
                  <a:cs typeface="+mn-cs"/>
                </a:rPr>
                <a:t> and temperature.</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For Mt Graham (Elevation = 3269 m) this is about 0.7, so it really helps to be high (enter dome Temp if you wish).</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Spherical trig (4-parts formula) gives the parallactic angle:</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	</a:t>
              </a:r>
              <a14:m>
                <m:oMath xmlns:m="http://schemas.openxmlformats.org/officeDocument/2006/math">
                  <m:func>
                    <m:funcPr>
                      <m:ctrlPr>
                        <a:rPr lang="en-US" sz="1200" i="1">
                          <a:solidFill>
                            <a:schemeClr val="dk1"/>
                          </a:solidFill>
                          <a:effectLst/>
                          <a:latin typeface="Cambria Math" panose="02040503050406030204" pitchFamily="18" charset="0"/>
                          <a:ea typeface="+mn-ea"/>
                          <a:cs typeface="+mn-cs"/>
                        </a:rPr>
                      </m:ctrlPr>
                    </m:funcPr>
                    <m:fName>
                      <m:r>
                        <m:rPr>
                          <m:sty m:val="p"/>
                        </m:rPr>
                        <a:rPr lang="en-US" sz="1200">
                          <a:solidFill>
                            <a:schemeClr val="dk1"/>
                          </a:solidFill>
                          <a:effectLst/>
                          <a:latin typeface="Cambria Math" panose="02040503050406030204" pitchFamily="18" charset="0"/>
                          <a:ea typeface="+mn-ea"/>
                          <a:cs typeface="+mn-cs"/>
                        </a:rPr>
                        <m:t>cot</m:t>
                      </m:r>
                    </m:fName>
                    <m:e>
                      <m:d>
                        <m:dPr>
                          <m:ctrlPr>
                            <a:rPr lang="en-US" sz="1200" i="1">
                              <a:solidFill>
                                <a:schemeClr val="dk1"/>
                              </a:solidFill>
                              <a:effectLst/>
                              <a:latin typeface="Cambria Math" panose="02040503050406030204" pitchFamily="18" charset="0"/>
                              <a:ea typeface="+mn-ea"/>
                              <a:cs typeface="+mn-cs"/>
                            </a:rPr>
                          </m:ctrlPr>
                        </m:dPr>
                        <m:e>
                          <m:r>
                            <a:rPr lang="en-US" sz="1200" i="1">
                              <a:solidFill>
                                <a:schemeClr val="dk1"/>
                              </a:solidFill>
                              <a:effectLst/>
                              <a:latin typeface="Cambria Math" panose="02040503050406030204" pitchFamily="18" charset="0"/>
                              <a:ea typeface="+mn-ea"/>
                              <a:cs typeface="+mn-cs"/>
                            </a:rPr>
                            <m:t>𝑃𝐴</m:t>
                          </m:r>
                        </m:e>
                      </m:d>
                    </m:e>
                  </m:func>
                  <m:r>
                    <a:rPr lang="en-US" sz="1200" i="1">
                      <a:solidFill>
                        <a:schemeClr val="dk1"/>
                      </a:solidFill>
                      <a:effectLst/>
                      <a:latin typeface="Cambria Math" panose="02040503050406030204" pitchFamily="18" charset="0"/>
                      <a:ea typeface="+mn-ea"/>
                      <a:cs typeface="+mn-cs"/>
                    </a:rPr>
                    <m:t>=</m:t>
                  </m:r>
                  <m:f>
                    <m:fPr>
                      <m:ctrlPr>
                        <a:rPr lang="en-US" sz="1200" i="1">
                          <a:solidFill>
                            <a:schemeClr val="dk1"/>
                          </a:solidFill>
                          <a:effectLst/>
                          <a:latin typeface="Cambria Math" panose="02040503050406030204" pitchFamily="18" charset="0"/>
                          <a:ea typeface="+mn-ea"/>
                          <a:cs typeface="+mn-cs"/>
                        </a:rPr>
                      </m:ctrlPr>
                    </m:fPr>
                    <m:num>
                      <m:func>
                        <m:funcPr>
                          <m:ctrlPr>
                            <a:rPr lang="en-US" sz="1200" i="1">
                              <a:solidFill>
                                <a:schemeClr val="dk1"/>
                              </a:solidFill>
                              <a:effectLst/>
                              <a:latin typeface="Cambria Math" panose="02040503050406030204" pitchFamily="18" charset="0"/>
                              <a:ea typeface="+mn-ea"/>
                              <a:cs typeface="+mn-cs"/>
                            </a:rPr>
                          </m:ctrlPr>
                        </m:funcPr>
                        <m:fName>
                          <m:r>
                            <m:rPr>
                              <m:sty m:val="p"/>
                            </m:rPr>
                            <a:rPr lang="en-US" sz="1200">
                              <a:solidFill>
                                <a:schemeClr val="dk1"/>
                              </a:solidFill>
                              <a:effectLst/>
                              <a:latin typeface="Cambria Math" panose="02040503050406030204" pitchFamily="18" charset="0"/>
                              <a:ea typeface="+mn-ea"/>
                              <a:cs typeface="+mn-cs"/>
                            </a:rPr>
                            <m:t>cos</m:t>
                          </m:r>
                        </m:fName>
                        <m:e>
                          <m:d>
                            <m:dPr>
                              <m:ctrlPr>
                                <a:rPr lang="en-US" sz="1200" i="1">
                                  <a:solidFill>
                                    <a:schemeClr val="dk1"/>
                                  </a:solidFill>
                                  <a:effectLst/>
                                  <a:latin typeface="Cambria Math" panose="02040503050406030204" pitchFamily="18" charset="0"/>
                                  <a:ea typeface="+mn-ea"/>
                                  <a:cs typeface="+mn-cs"/>
                                </a:rPr>
                              </m:ctrlPr>
                            </m:dPr>
                            <m:e>
                              <m:r>
                                <a:rPr lang="en-US" sz="1200" i="1">
                                  <a:solidFill>
                                    <a:schemeClr val="dk1"/>
                                  </a:solidFill>
                                  <a:effectLst/>
                                  <a:latin typeface="Cambria Math" panose="02040503050406030204" pitchFamily="18" charset="0"/>
                                  <a:ea typeface="+mn-ea"/>
                                  <a:cs typeface="+mn-cs"/>
                                </a:rPr>
                                <m:t>𝛿</m:t>
                              </m:r>
                            </m:e>
                          </m:d>
                          <m:r>
                            <m:rPr>
                              <m:sty m:val="p"/>
                            </m:rPr>
                            <a:rPr lang="en-US" sz="1200">
                              <a:solidFill>
                                <a:schemeClr val="dk1"/>
                              </a:solidFill>
                              <a:effectLst/>
                              <a:latin typeface="Cambria Math" panose="02040503050406030204" pitchFamily="18" charset="0"/>
                              <a:ea typeface="+mn-ea"/>
                              <a:cs typeface="+mn-cs"/>
                            </a:rPr>
                            <m:t>tan</m:t>
                          </m:r>
                          <m:r>
                            <a:rPr lang="en-US" sz="1200" i="1">
                              <a:solidFill>
                                <a:schemeClr val="dk1"/>
                              </a:solidFill>
                              <a:effectLst/>
                              <a:latin typeface="Cambria Math" panose="02040503050406030204" pitchFamily="18" charset="0"/>
                              <a:ea typeface="+mn-ea"/>
                              <a:cs typeface="+mn-cs"/>
                            </a:rPr>
                            <m:t>(</m:t>
                          </m:r>
                          <m:r>
                            <a:rPr lang="en-US" sz="1200" i="1">
                              <a:solidFill>
                                <a:schemeClr val="dk1"/>
                              </a:solidFill>
                              <a:effectLst/>
                              <a:latin typeface="Cambria Math" panose="02040503050406030204" pitchFamily="18" charset="0"/>
                              <a:ea typeface="+mn-ea"/>
                              <a:cs typeface="+mn-cs"/>
                            </a:rPr>
                            <m:t>𝜙</m:t>
                          </m:r>
                          <m:r>
                            <a:rPr lang="en-US" sz="1200" i="1">
                              <a:solidFill>
                                <a:schemeClr val="dk1"/>
                              </a:solidFill>
                              <a:effectLst/>
                              <a:latin typeface="Cambria Math" panose="02040503050406030204" pitchFamily="18" charset="0"/>
                              <a:ea typeface="+mn-ea"/>
                              <a:cs typeface="+mn-cs"/>
                            </a:rPr>
                            <m:t>)</m:t>
                          </m:r>
                        </m:e>
                      </m:func>
                      <m:r>
                        <a:rPr lang="en-US" sz="1200" i="1">
                          <a:solidFill>
                            <a:schemeClr val="dk1"/>
                          </a:solidFill>
                          <a:effectLst/>
                          <a:latin typeface="Cambria Math" panose="02040503050406030204" pitchFamily="18" charset="0"/>
                          <a:ea typeface="+mn-ea"/>
                          <a:cs typeface="+mn-cs"/>
                        </a:rPr>
                        <m:t>−</m:t>
                      </m:r>
                      <m:func>
                        <m:funcPr>
                          <m:ctrlPr>
                            <a:rPr lang="en-US" sz="1200" i="1">
                              <a:solidFill>
                                <a:schemeClr val="dk1"/>
                              </a:solidFill>
                              <a:effectLst/>
                              <a:latin typeface="Cambria Math" panose="02040503050406030204" pitchFamily="18" charset="0"/>
                              <a:ea typeface="+mn-ea"/>
                              <a:cs typeface="+mn-cs"/>
                            </a:rPr>
                          </m:ctrlPr>
                        </m:funcPr>
                        <m:fName>
                          <m:r>
                            <m:rPr>
                              <m:sty m:val="p"/>
                            </m:rPr>
                            <a:rPr lang="en-US" sz="1200">
                              <a:solidFill>
                                <a:schemeClr val="dk1"/>
                              </a:solidFill>
                              <a:effectLst/>
                              <a:latin typeface="Cambria Math" panose="02040503050406030204" pitchFamily="18" charset="0"/>
                              <a:ea typeface="+mn-ea"/>
                              <a:cs typeface="+mn-cs"/>
                            </a:rPr>
                            <m:t>sin</m:t>
                          </m:r>
                        </m:fName>
                        <m:e>
                          <m:d>
                            <m:dPr>
                              <m:ctrlPr>
                                <a:rPr lang="en-US" sz="1200" i="1">
                                  <a:solidFill>
                                    <a:schemeClr val="dk1"/>
                                  </a:solidFill>
                                  <a:effectLst/>
                                  <a:latin typeface="Cambria Math" panose="02040503050406030204" pitchFamily="18" charset="0"/>
                                  <a:ea typeface="+mn-ea"/>
                                  <a:cs typeface="+mn-cs"/>
                                </a:rPr>
                              </m:ctrlPr>
                            </m:dPr>
                            <m:e>
                              <m:r>
                                <a:rPr lang="en-US" sz="1200" i="1">
                                  <a:solidFill>
                                    <a:schemeClr val="dk1"/>
                                  </a:solidFill>
                                  <a:effectLst/>
                                  <a:latin typeface="Cambria Math" panose="02040503050406030204" pitchFamily="18" charset="0"/>
                                  <a:ea typeface="+mn-ea"/>
                                  <a:cs typeface="+mn-cs"/>
                                </a:rPr>
                                <m:t>𝛿</m:t>
                              </m:r>
                            </m:e>
                          </m:d>
                        </m:e>
                      </m:func>
                      <m:r>
                        <m:rPr>
                          <m:sty m:val="p"/>
                        </m:rPr>
                        <a:rPr lang="en-US" sz="1200">
                          <a:solidFill>
                            <a:schemeClr val="dk1"/>
                          </a:solidFill>
                          <a:effectLst/>
                          <a:latin typeface="Cambria Math" panose="02040503050406030204" pitchFamily="18" charset="0"/>
                          <a:ea typeface="+mn-ea"/>
                          <a:cs typeface="+mn-cs"/>
                        </a:rPr>
                        <m:t>cos</m:t>
                      </m:r>
                      <m:r>
                        <a:rPr lang="en-US" sz="1200" i="1">
                          <a:solidFill>
                            <a:schemeClr val="dk1"/>
                          </a:solidFill>
                          <a:effectLst/>
                          <a:latin typeface="Cambria Math" panose="02040503050406030204" pitchFamily="18" charset="0"/>
                          <a:ea typeface="+mn-ea"/>
                          <a:cs typeface="+mn-cs"/>
                        </a:rPr>
                        <m:t>(</m:t>
                      </m:r>
                      <m:r>
                        <a:rPr lang="en-US" sz="1200" i="1">
                          <a:solidFill>
                            <a:schemeClr val="dk1"/>
                          </a:solidFill>
                          <a:effectLst/>
                          <a:latin typeface="Cambria Math" panose="02040503050406030204" pitchFamily="18" charset="0"/>
                          <a:ea typeface="+mn-ea"/>
                          <a:cs typeface="+mn-cs"/>
                        </a:rPr>
                        <m:t>𝐻𝐴</m:t>
                      </m:r>
                      <m:r>
                        <a:rPr lang="en-US" sz="1200" i="1">
                          <a:solidFill>
                            <a:schemeClr val="dk1"/>
                          </a:solidFill>
                          <a:effectLst/>
                          <a:latin typeface="Cambria Math" panose="02040503050406030204" pitchFamily="18" charset="0"/>
                          <a:ea typeface="+mn-ea"/>
                          <a:cs typeface="+mn-cs"/>
                        </a:rPr>
                        <m:t>)</m:t>
                      </m:r>
                    </m:num>
                    <m:den>
                      <m:r>
                        <m:rPr>
                          <m:sty m:val="p"/>
                        </m:rPr>
                        <a:rPr lang="en-US" sz="1200">
                          <a:solidFill>
                            <a:schemeClr val="dk1"/>
                          </a:solidFill>
                          <a:effectLst/>
                          <a:latin typeface="Cambria Math" panose="02040503050406030204" pitchFamily="18" charset="0"/>
                          <a:ea typeface="+mn-ea"/>
                          <a:cs typeface="+mn-cs"/>
                        </a:rPr>
                        <m:t>sin</m:t>
                      </m:r>
                      <m:r>
                        <a:rPr lang="en-US" sz="1200" i="1">
                          <a:solidFill>
                            <a:schemeClr val="dk1"/>
                          </a:solidFill>
                          <a:effectLst/>
                          <a:latin typeface="Cambria Math" panose="02040503050406030204" pitchFamily="18" charset="0"/>
                          <a:ea typeface="+mn-ea"/>
                          <a:cs typeface="+mn-cs"/>
                        </a:rPr>
                        <m:t>(</m:t>
                      </m:r>
                      <m:r>
                        <a:rPr lang="en-US" sz="1200" i="1">
                          <a:solidFill>
                            <a:schemeClr val="dk1"/>
                          </a:solidFill>
                          <a:effectLst/>
                          <a:latin typeface="Cambria Math" panose="02040503050406030204" pitchFamily="18" charset="0"/>
                          <a:ea typeface="+mn-ea"/>
                          <a:cs typeface="+mn-cs"/>
                        </a:rPr>
                        <m:t>𝐻𝐴</m:t>
                      </m:r>
                      <m:r>
                        <a:rPr lang="en-US" sz="1200" i="1">
                          <a:solidFill>
                            <a:schemeClr val="dk1"/>
                          </a:solidFill>
                          <a:effectLst/>
                          <a:latin typeface="Cambria Math" panose="02040503050406030204" pitchFamily="18" charset="0"/>
                          <a:ea typeface="+mn-ea"/>
                          <a:cs typeface="+mn-cs"/>
                        </a:rPr>
                        <m:t>)</m:t>
                      </m:r>
                    </m:den>
                  </m:f>
                </m:oMath>
              </a14:m>
              <a:r>
                <a:rPr lang="en-US" sz="1200">
                  <a:solidFill>
                    <a:schemeClr val="dk1"/>
                  </a:solidFill>
                  <a:effectLst/>
                  <a:latin typeface="+mn-lt"/>
                  <a:ea typeface="+mn-ea"/>
                  <a:cs typeface="+mn-cs"/>
                </a:rPr>
                <a:t>     which can be evaluated using ATAN2.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To calculate the slit losses, convert the seeing FWHM into </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2 = FWHM/(2 sqrt(2</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ln(2))</a:t>
              </a:r>
              <a:r>
                <a:rPr lang="en-US" sz="1200">
                  <a:effectLst/>
                </a:rPr>
                <a:t> and express the slit width in these units. Now integrate an offset Gaussian</a:t>
              </a:r>
              <a:r>
                <a:rPr lang="en-US" sz="1200" baseline="0">
                  <a:effectLst/>
                </a:rPr>
                <a:t> </a:t>
              </a:r>
              <a:r>
                <a:rPr lang="en-US" sz="1200">
                  <a:effectLst/>
                </a:rPr>
                <a:t>using the error</a:t>
              </a:r>
              <a:r>
                <a:rPr lang="en-US" sz="1200" baseline="0">
                  <a:effectLst/>
                </a:rPr>
                <a:t> function (ERF) within the slit to find the fraction of light entering the slit. [This deserves a slightly more detailed explanaion..].</a:t>
              </a:r>
              <a:endParaRPr lang="en-US" sz="1200"/>
            </a:p>
            <a:p>
              <a:endParaRPr lang="en-US" sz="1200"/>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Sources: Filippenko's</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1982 article; Smart's</a:t>
              </a:r>
              <a:r>
                <a:rPr lang="en-US" sz="1200" baseline="0">
                  <a:solidFill>
                    <a:schemeClr val="dk1"/>
                  </a:solidFill>
                  <a:effectLst/>
                  <a:latin typeface="+mn-lt"/>
                  <a:ea typeface="+mn-ea"/>
                  <a:cs typeface="+mn-cs"/>
                </a:rPr>
                <a:t> Spherical Astronomy; Wikipedia. </a:t>
              </a:r>
              <a:endParaRPr lang="en-US" sz="1200">
                <a:solidFill>
                  <a:schemeClr val="dk1"/>
                </a:solidFill>
                <a:effectLst/>
                <a:latin typeface="+mn-lt"/>
                <a:ea typeface="+mn-ea"/>
                <a:cs typeface="+mn-cs"/>
              </a:endParaRPr>
            </a:p>
          </xdr:txBody>
        </xdr:sp>
      </mc:Choice>
      <mc:Fallback xmlns="">
        <xdr:sp macro="" textlink="">
          <xdr:nvSpPr>
            <xdr:cNvPr id="7" name="TextBox 6">
              <a:extLst>
                <a:ext uri="{FF2B5EF4-FFF2-40B4-BE49-F238E27FC236}">
                  <a16:creationId xmlns:a16="http://schemas.microsoft.com/office/drawing/2014/main" id="{9E5500B7-DE26-023E-4D48-A648B392F5A4}"/>
                </a:ext>
              </a:extLst>
            </xdr:cNvPr>
            <xdr:cNvSpPr txBox="1"/>
          </xdr:nvSpPr>
          <xdr:spPr>
            <a:xfrm>
              <a:off x="2713847" y="16460558"/>
              <a:ext cx="9615736" cy="590996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rgbClr val="FF0000"/>
                  </a:solidFill>
                </a:rPr>
                <a:t>Method</a:t>
              </a:r>
              <a:endParaRPr lang="en-US" sz="1800">
                <a:solidFill>
                  <a:schemeClr val="dk1"/>
                </a:solidFill>
                <a:effectLst/>
                <a:latin typeface="+mn-lt"/>
                <a:ea typeface="+mn-ea"/>
                <a:cs typeface="+mn-cs"/>
              </a:endParaRPr>
            </a:p>
            <a:p>
              <a:r>
                <a:rPr lang="en-US" sz="1200">
                  <a:solidFill>
                    <a:schemeClr val="dk1"/>
                  </a:solidFill>
                  <a:effectLst/>
                  <a:latin typeface="+mn-lt"/>
                  <a:ea typeface="+mn-ea"/>
                  <a:cs typeface="+mn-cs"/>
                </a:rPr>
                <a:t>Atmospheric refraction is:</a:t>
              </a:r>
            </a:p>
            <a:p>
              <a:endParaRPr lang="en-US" sz="1200">
                <a:solidFill>
                  <a:schemeClr val="dk1"/>
                </a:solidFill>
                <a:effectLst/>
                <a:latin typeface="+mn-lt"/>
                <a:ea typeface="+mn-ea"/>
                <a:cs typeface="+mn-cs"/>
              </a:endParaRPr>
            </a:p>
            <a:p>
              <a:r>
                <a:rPr lang="en-US" sz="1200">
                  <a:solidFill>
                    <a:schemeClr val="dk1"/>
                  </a:solidFill>
                  <a:effectLst/>
                  <a:latin typeface="+mn-lt"/>
                  <a:ea typeface="+mn-ea"/>
                  <a:cs typeface="+mn-cs"/>
                </a:rPr>
                <a:t>	R = F</a:t>
              </a:r>
              <a:r>
                <a:rPr lang="en-US" sz="1200" baseline="-25000">
                  <a:solidFill>
                    <a:schemeClr val="dk1"/>
                  </a:solidFill>
                  <a:effectLst/>
                  <a:latin typeface="+mn-lt"/>
                  <a:ea typeface="+mn-ea"/>
                  <a:cs typeface="+mn-cs"/>
                </a:rPr>
                <a:t>atm</a:t>
              </a:r>
              <a:r>
                <a:rPr lang="en-US" sz="1200">
                  <a:solidFill>
                    <a:schemeClr val="dk1"/>
                  </a:solidFill>
                  <a:effectLst/>
                  <a:latin typeface="+mn-lt"/>
                  <a:ea typeface="+mn-ea"/>
                  <a:cs typeface="+mn-cs"/>
                </a:rPr>
                <a:t> </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 206265 </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 (n(</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 – 1) </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 tan ZD</a:t>
              </a:r>
              <a:r>
                <a:rPr lang="en-US" sz="1200" baseline="0">
                  <a:solidFill>
                    <a:schemeClr val="dk1"/>
                  </a:solidFill>
                  <a:effectLst/>
                  <a:latin typeface="+mn-lt"/>
                  <a:ea typeface="+mn-ea"/>
                  <a:cs typeface="+mn-cs"/>
                </a:rPr>
                <a:t>    arcsec,     where </a:t>
              </a:r>
              <a:r>
                <a:rPr lang="en-US" sz="1200">
                  <a:solidFill>
                    <a:schemeClr val="dk1"/>
                  </a:solidFill>
                  <a:effectLst/>
                  <a:latin typeface="+mn-lt"/>
                  <a:ea typeface="+mn-ea"/>
                  <a:cs typeface="+mn-cs"/>
                </a:rPr>
                <a:t>F</a:t>
              </a:r>
              <a:r>
                <a:rPr lang="en-US" sz="1200" baseline="-25000">
                  <a:solidFill>
                    <a:schemeClr val="dk1"/>
                  </a:solidFill>
                  <a:effectLst/>
                  <a:latin typeface="+mn-lt"/>
                  <a:ea typeface="+mn-ea"/>
                  <a:cs typeface="+mn-cs"/>
                </a:rPr>
                <a:t>atm</a:t>
              </a:r>
              <a:r>
                <a:rPr lang="en-US" sz="1200" baseline="0">
                  <a:solidFill>
                    <a:schemeClr val="dk1"/>
                  </a:solidFill>
                  <a:effectLst/>
                  <a:latin typeface="+mn-lt"/>
                  <a:ea typeface="+mn-ea"/>
                  <a:cs typeface="+mn-cs"/>
                </a:rPr>
                <a:t> corrects for a non-standard atmosphere, ZD is zenith distance, n is refrac. index.</a:t>
              </a: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At standard conditions (101 kPa &amp; 15 C, </a:t>
              </a:r>
              <a:r>
                <a:rPr lang="en-US" sz="1200">
                  <a:solidFill>
                    <a:schemeClr val="dk1"/>
                  </a:solidFill>
                  <a:effectLst/>
                  <a:latin typeface="+mn-lt"/>
                  <a:ea typeface="+mn-ea"/>
                  <a:cs typeface="+mn-cs"/>
                </a:rPr>
                <a:t> F</a:t>
              </a:r>
              <a:r>
                <a:rPr lang="en-US" sz="1200" baseline="-25000">
                  <a:solidFill>
                    <a:schemeClr val="dk1"/>
                  </a:solidFill>
                  <a:effectLst/>
                  <a:latin typeface="+mn-lt"/>
                  <a:ea typeface="+mn-ea"/>
                  <a:cs typeface="+mn-cs"/>
                </a:rPr>
                <a:t>atm</a:t>
              </a:r>
              <a:r>
                <a:rPr lang="en-US" sz="1200">
                  <a:solidFill>
                    <a:schemeClr val="dk1"/>
                  </a:solidFill>
                  <a:effectLst/>
                  <a:latin typeface="+mn-lt"/>
                  <a:ea typeface="+mn-ea"/>
                  <a:cs typeface="+mn-cs"/>
                </a:rPr>
                <a:t> = 1</a:t>
              </a:r>
              <a:r>
                <a:rPr lang="en-US" sz="1200" baseline="0">
                  <a:solidFill>
                    <a:schemeClr val="dk1"/>
                  </a:solidFill>
                  <a:effectLst/>
                  <a:latin typeface="+mn-lt"/>
                  <a:ea typeface="+mn-ea"/>
                  <a:cs typeface="+mn-cs"/>
                </a:rPr>
                <a:t>),  the refractive index is:</a:t>
              </a:r>
            </a:p>
            <a:p>
              <a:endParaRPr lang="en-US"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	</a:t>
              </a:r>
              <a:r>
                <a:rPr lang="en-US" sz="1200" i="0">
                  <a:solidFill>
                    <a:schemeClr val="dk1"/>
                  </a:solidFill>
                  <a:effectLst/>
                  <a:latin typeface="Cambria Math" panose="02040503050406030204" pitchFamily="18" charset="0"/>
                  <a:ea typeface="+mn-ea"/>
                  <a:cs typeface="+mn-cs"/>
                </a:rPr>
                <a:t>(𝑛(</a:t>
              </a:r>
              <a:r>
                <a:rPr lang="en-US" sz="1200" i="0">
                  <a:solidFill>
                    <a:schemeClr val="dk1"/>
                  </a:solidFill>
                  <a:effectLst/>
                  <a:latin typeface="Cambria Math" panose="02040503050406030204" pitchFamily="18" charset="0"/>
                  <a:ea typeface="+mn-ea"/>
                  <a:cs typeface="+mn-cs"/>
                  <a:sym typeface="Symbol" pitchFamily="2" charset="2"/>
                </a:rPr>
                <a:t>)</a:t>
              </a:r>
              <a:r>
                <a:rPr lang="en-US" sz="1200" i="0">
                  <a:solidFill>
                    <a:schemeClr val="dk1"/>
                  </a:solidFill>
                  <a:effectLst/>
                  <a:latin typeface="Cambria Math" panose="02040503050406030204" pitchFamily="18" charset="0"/>
                  <a:ea typeface="+mn-ea"/>
                  <a:cs typeface="+mn-cs"/>
                </a:rPr>
                <a:t>−1)=6.433×10^(−5)+0.0295/(146− 𝜆_𝜇^(−2) )+0.000255/(41− 𝜆_𝜇^(−2) )</a:t>
              </a:r>
              <a:endParaRPr lang="en-US" sz="1200">
                <a:solidFill>
                  <a:schemeClr val="dk1"/>
                </a:solidFill>
                <a:effectLst/>
                <a:latin typeface="+mn-lt"/>
                <a:ea typeface="+mn-ea"/>
                <a:cs typeface="+mn-cs"/>
              </a:endParaRPr>
            </a:p>
            <a:p>
              <a:endParaRPr lang="en-US" sz="1200" baseline="0">
                <a:solidFill>
                  <a:schemeClr val="dk1"/>
                </a:solidFill>
                <a:effectLst/>
                <a:latin typeface="+mn-lt"/>
                <a:ea typeface="+mn-ea"/>
                <a:cs typeface="+mn-cs"/>
              </a:endParaRPr>
            </a:p>
            <a:p>
              <a:r>
                <a:rPr lang="en-US" sz="1200" baseline="0">
                  <a:solidFill>
                    <a:schemeClr val="dk1"/>
                  </a:solidFill>
                  <a:effectLst/>
                  <a:latin typeface="+mn-lt"/>
                  <a:ea typeface="+mn-ea"/>
                  <a:cs typeface="+mn-cs"/>
                </a:rPr>
                <a:t>Simplifying: the offset between wavelenth  </a:t>
              </a:r>
              <a:r>
                <a:rPr lang="en-US" sz="1200">
                  <a:solidFill>
                    <a:schemeClr val="dk1"/>
                  </a:solidFill>
                  <a:effectLst/>
                  <a:latin typeface="+mn-lt"/>
                  <a:ea typeface="+mn-ea"/>
                  <a:cs typeface="+mn-cs"/>
                  <a:sym typeface="Symbol" pitchFamily="2" charset="2"/>
                </a:rPr>
                <a:t> </a:t>
              </a:r>
              <a:r>
                <a:rPr lang="en-US" sz="1200" baseline="0">
                  <a:solidFill>
                    <a:schemeClr val="dk1"/>
                  </a:solidFill>
                  <a:effectLst/>
                  <a:latin typeface="+mn-lt"/>
                  <a:ea typeface="+mn-ea"/>
                  <a:cs typeface="+mn-cs"/>
                </a:rPr>
                <a:t>and a reference wavelength (e.g., acquisition and/or guiding) is: </a:t>
              </a:r>
            </a:p>
            <a:p>
              <a:endParaRPr lang="en-US"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	Δ</a:t>
              </a:r>
              <a:r>
                <a:rPr lang="en-US" sz="1200" i="0">
                  <a:solidFill>
                    <a:schemeClr val="dk1"/>
                  </a:solidFill>
                  <a:effectLst/>
                  <a:latin typeface="Cambria Math" panose="02040503050406030204" pitchFamily="18" charset="0"/>
                  <a:ea typeface="+mn-ea"/>
                  <a:cs typeface="+mn-cs"/>
                </a:rPr>
                <a:t>(</a:t>
              </a:r>
              <a:r>
                <a:rPr lang="en-US" sz="1200" i="0">
                  <a:solidFill>
                    <a:schemeClr val="dk1"/>
                  </a:solidFill>
                  <a:effectLst/>
                  <a:latin typeface="Cambria Math" panose="02040503050406030204" pitchFamily="18" charset="0"/>
                  <a:ea typeface="+mn-ea"/>
                  <a:cs typeface="+mn-cs"/>
                  <a:sym typeface="Symbol" pitchFamily="2" charset="2"/>
                </a:rPr>
                <a:t>)</a:t>
              </a:r>
              <a:r>
                <a:rPr lang="en-US" sz="1200" i="0">
                  <a:solidFill>
                    <a:schemeClr val="dk1"/>
                  </a:solidFill>
                  <a:effectLst/>
                  <a:latin typeface="Cambria Math" panose="02040503050406030204" pitchFamily="18" charset="0"/>
                  <a:ea typeface="+mn-ea"/>
                  <a:cs typeface="+mn-cs"/>
                </a:rPr>
                <a:t>=𝐹_𝑎𝑡𝑚×tan⁡(𝑍𝐷)×[(6085/(〖146−𝜆〗_𝜇^(−2) )−6085/(〖146−𝜆〗_(𝑟𝑒𝑓,𝜇)^(−2) ))+(52.6/(〖41−𝜆〗_𝜇^(−2) )−52.6/(〖41−𝜆〗_(𝑟𝑒𝑓,𝜇)^(−2) ))]</a:t>
              </a:r>
              <a:r>
                <a:rPr lang="en-US" sz="1200">
                  <a:solidFill>
                    <a:schemeClr val="dk1"/>
                  </a:solidFill>
                  <a:effectLst/>
                  <a:latin typeface="+mn-lt"/>
                  <a:ea typeface="+mn-ea"/>
                  <a:cs typeface="+mn-cs"/>
                </a:rPr>
                <a:t>   arcsec</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where </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	</a:t>
              </a:r>
              <a:r>
                <a:rPr lang="en-US" sz="1200" i="0">
                  <a:solidFill>
                    <a:schemeClr val="dk1"/>
                  </a:solidFill>
                  <a:effectLst/>
                  <a:latin typeface="Cambria Math" panose="02040503050406030204" pitchFamily="18" charset="0"/>
                  <a:ea typeface="+mn-ea"/>
                  <a:cs typeface="+mn-cs"/>
                </a:rPr>
                <a:t>𝐹_𝑎𝑡𝑚=exp(−〖𝐻𝑡〗_𝑚/8400)×288/((273+𝑇_𝐶))</a:t>
              </a:r>
              <a:r>
                <a:rPr lang="en-US" sz="1200">
                  <a:solidFill>
                    <a:schemeClr val="dk1"/>
                  </a:solidFill>
                  <a:effectLst/>
                  <a:latin typeface="+mn-lt"/>
                  <a:ea typeface="+mn-ea"/>
                  <a:cs typeface="+mn-cs"/>
                </a:rPr>
                <a:t>   tracks the changing density of air with elevation</a:t>
              </a:r>
              <a:r>
                <a:rPr lang="en-US" sz="1200" baseline="0">
                  <a:solidFill>
                    <a:schemeClr val="dk1"/>
                  </a:solidFill>
                  <a:effectLst/>
                  <a:latin typeface="+mn-lt"/>
                  <a:ea typeface="+mn-ea"/>
                  <a:cs typeface="+mn-cs"/>
                </a:rPr>
                <a:t> and temperature.</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For Mt Graham (Elevation = 3269 m) this is about 0.7, so it really helps to be high (enter dome Temp if you wish).</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Spherical trig (4-parts formula) gives the parallactic angle:</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	</a:t>
              </a:r>
              <a:r>
                <a:rPr lang="en-US" sz="1200" i="0">
                  <a:solidFill>
                    <a:schemeClr val="dk1"/>
                  </a:solidFill>
                  <a:effectLst/>
                  <a:latin typeface="Cambria Math" panose="02040503050406030204" pitchFamily="18" charset="0"/>
                  <a:ea typeface="+mn-ea"/>
                  <a:cs typeface="+mn-cs"/>
                </a:rPr>
                <a:t>cot⁡(𝑃𝐴)=(cos⁡〖(𝛿)tan(𝜙)〗−sin⁡(𝛿)cos(𝐻𝐴))/(sin(𝐻𝐴))</a:t>
              </a:r>
              <a:r>
                <a:rPr lang="en-US" sz="1200">
                  <a:solidFill>
                    <a:schemeClr val="dk1"/>
                  </a:solidFill>
                  <a:effectLst/>
                  <a:latin typeface="+mn-lt"/>
                  <a:ea typeface="+mn-ea"/>
                  <a:cs typeface="+mn-cs"/>
                </a:rPr>
                <a:t>     which can be evaluated using ATAN2. </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To calculate the slit losses, convert the seeing FWHM into </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2 = FWHM/(2 sqrt(2</a:t>
              </a:r>
              <a:r>
                <a:rPr lang="en-US" sz="1200">
                  <a:solidFill>
                    <a:schemeClr val="dk1"/>
                  </a:solidFill>
                  <a:effectLst/>
                  <a:latin typeface="+mn-lt"/>
                  <a:ea typeface="+mn-ea"/>
                  <a:cs typeface="+mn-cs"/>
                  <a:sym typeface="Symbol" pitchFamily="2" charset="2"/>
                </a:rPr>
                <a:t></a:t>
              </a:r>
              <a:r>
                <a:rPr lang="en-US" sz="1200">
                  <a:solidFill>
                    <a:schemeClr val="dk1"/>
                  </a:solidFill>
                  <a:effectLst/>
                  <a:latin typeface="+mn-lt"/>
                  <a:ea typeface="+mn-ea"/>
                  <a:cs typeface="+mn-cs"/>
                </a:rPr>
                <a:t>ln(2))</a:t>
              </a:r>
              <a:r>
                <a:rPr lang="en-US" sz="1200">
                  <a:effectLst/>
                </a:rPr>
                <a:t> and express the slit width in these units. Now integrate an offset Gaussian</a:t>
              </a:r>
              <a:r>
                <a:rPr lang="en-US" sz="1200" baseline="0">
                  <a:effectLst/>
                </a:rPr>
                <a:t> </a:t>
              </a:r>
              <a:r>
                <a:rPr lang="en-US" sz="1200">
                  <a:effectLst/>
                </a:rPr>
                <a:t>using the error</a:t>
              </a:r>
              <a:r>
                <a:rPr lang="en-US" sz="1200" baseline="0">
                  <a:effectLst/>
                </a:rPr>
                <a:t> function (ERF) within the slit to find the fraction of light entering the slit. [This deserves a slightly more detailed explanaion..].</a:t>
              </a:r>
              <a:endParaRPr lang="en-US" sz="1200"/>
            </a:p>
            <a:p>
              <a:endParaRPr lang="en-US" sz="1200"/>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n-lt"/>
                  <a:ea typeface="+mn-ea"/>
                  <a:cs typeface="+mn-cs"/>
                </a:rPr>
                <a:t>Sources: Filippenko's</a:t>
              </a:r>
              <a:r>
                <a:rPr lang="en-US" sz="1200" baseline="0">
                  <a:solidFill>
                    <a:schemeClr val="dk1"/>
                  </a:solidFill>
                  <a:effectLst/>
                  <a:latin typeface="+mn-lt"/>
                  <a:ea typeface="+mn-ea"/>
                  <a:cs typeface="+mn-cs"/>
                </a:rPr>
                <a:t> </a:t>
              </a:r>
              <a:r>
                <a:rPr lang="en-US" sz="1200">
                  <a:solidFill>
                    <a:schemeClr val="dk1"/>
                  </a:solidFill>
                  <a:effectLst/>
                  <a:latin typeface="+mn-lt"/>
                  <a:ea typeface="+mn-ea"/>
                  <a:cs typeface="+mn-cs"/>
                </a:rPr>
                <a:t>1982 article; Smart's</a:t>
              </a:r>
              <a:r>
                <a:rPr lang="en-US" sz="1200" baseline="0">
                  <a:solidFill>
                    <a:schemeClr val="dk1"/>
                  </a:solidFill>
                  <a:effectLst/>
                  <a:latin typeface="+mn-lt"/>
                  <a:ea typeface="+mn-ea"/>
                  <a:cs typeface="+mn-cs"/>
                </a:rPr>
                <a:t> Spherical Astronomy; Wikipedia. </a:t>
              </a:r>
              <a:endParaRPr lang="en-US" sz="1200">
                <a:solidFill>
                  <a:schemeClr val="dk1"/>
                </a:solidFill>
                <a:effectLst/>
                <a:latin typeface="+mn-lt"/>
                <a:ea typeface="+mn-ea"/>
                <a:cs typeface="+mn-cs"/>
              </a:endParaRPr>
            </a:p>
          </xdr:txBody>
        </xdr:sp>
      </mc:Fallback>
    </mc:AlternateContent>
    <xdr:clientData/>
  </xdr:twoCellAnchor>
</xdr:wsDr>
</file>

<file path=xl/drawings/drawing17.xml><?xml version="1.0" encoding="utf-8"?>
<c:userShapes xmlns:c="http://schemas.openxmlformats.org/drawingml/2006/chart">
  <cdr:relSizeAnchor xmlns:cdr="http://schemas.openxmlformats.org/drawingml/2006/chartDrawing">
    <cdr:from>
      <cdr:x>0.16306</cdr:x>
      <cdr:y>0.1309</cdr:y>
    </cdr:from>
    <cdr:to>
      <cdr:x>0.5519</cdr:x>
      <cdr:y>0.18547</cdr:y>
    </cdr:to>
    <cdr:sp macro="" textlink="">
      <cdr:nvSpPr>
        <cdr:cNvPr id="3" name="TextBox 2">
          <a:extLst xmlns:a="http://schemas.openxmlformats.org/drawingml/2006/main">
            <a:ext uri="{FF2B5EF4-FFF2-40B4-BE49-F238E27FC236}">
              <a16:creationId xmlns:a16="http://schemas.microsoft.com/office/drawing/2014/main" id="{90D474C4-2A47-1E43-8B5F-F20CC3765438}"/>
            </a:ext>
          </a:extLst>
        </cdr:cNvPr>
        <cdr:cNvSpPr txBox="1"/>
      </cdr:nvSpPr>
      <cdr:spPr>
        <a:xfrm xmlns:a="http://schemas.openxmlformats.org/drawingml/2006/main">
          <a:off x="793415" y="652744"/>
          <a:ext cx="1892042" cy="2721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t>Circle size = seeing FWHM</a:t>
          </a:r>
        </a:p>
      </cdr:txBody>
    </cdr:sp>
  </cdr:relSizeAnchor>
</c:userShapes>
</file>

<file path=xl/drawings/drawing18.xml><?xml version="1.0" encoding="utf-8"?>
<c:userShapes xmlns:c="http://schemas.openxmlformats.org/drawingml/2006/chart">
  <cdr:relSizeAnchor xmlns:cdr="http://schemas.openxmlformats.org/drawingml/2006/chartDrawing">
    <cdr:from>
      <cdr:x>0.15478</cdr:x>
      <cdr:y>0.78177</cdr:y>
    </cdr:from>
    <cdr:to>
      <cdr:x>0.69556</cdr:x>
      <cdr:y>0.85466</cdr:y>
    </cdr:to>
    <cdr:pic>
      <cdr:nvPicPr>
        <cdr:cNvPr id="2" name="Picture 1">
          <a:extLst xmlns:a="http://schemas.openxmlformats.org/drawingml/2006/main">
            <a:ext uri="{FF2B5EF4-FFF2-40B4-BE49-F238E27FC236}">
              <a16:creationId xmlns:a16="http://schemas.microsoft.com/office/drawing/2014/main" id="{3FD74CC4-E884-716A-4BD8-BB9155658346}"/>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alphaModFix amt="98000"/>
        </a:blip>
        <a:srcRect xmlns:a="http://schemas.openxmlformats.org/drawingml/2006/main" t="451" r="3602"/>
        <a:stretch xmlns:a="http://schemas.openxmlformats.org/drawingml/2006/main"/>
      </cdr:blipFill>
      <cdr:spPr>
        <a:xfrm xmlns:a="http://schemas.openxmlformats.org/drawingml/2006/main">
          <a:off x="753363" y="3809125"/>
          <a:ext cx="2632133" cy="355181"/>
        </a:xfrm>
        <a:prstGeom xmlns:a="http://schemas.openxmlformats.org/drawingml/2006/main" prst="rect">
          <a:avLst/>
        </a:prstGeom>
      </cdr:spPr>
    </cdr:pic>
  </cdr:relSizeAnchor>
  <cdr:relSizeAnchor xmlns:cdr="http://schemas.openxmlformats.org/drawingml/2006/chartDrawing">
    <cdr:from>
      <cdr:x>0.66855</cdr:x>
      <cdr:y>0.78288</cdr:y>
    </cdr:from>
    <cdr:to>
      <cdr:x>0.94067</cdr:x>
      <cdr:y>0.85388</cdr:y>
    </cdr:to>
    <cdr:sp macro="" textlink="">
      <cdr:nvSpPr>
        <cdr:cNvPr id="3" name="Rectangle 2">
          <a:extLst xmlns:a="http://schemas.openxmlformats.org/drawingml/2006/main">
            <a:ext uri="{FF2B5EF4-FFF2-40B4-BE49-F238E27FC236}">
              <a16:creationId xmlns:a16="http://schemas.microsoft.com/office/drawing/2014/main" id="{51133A21-4C1D-705D-E619-1EBD4916F0C5}"/>
            </a:ext>
          </a:extLst>
        </cdr:cNvPr>
        <cdr:cNvSpPr/>
      </cdr:nvSpPr>
      <cdr:spPr>
        <a:xfrm xmlns:a="http://schemas.openxmlformats.org/drawingml/2006/main">
          <a:off x="3255894" y="3824272"/>
          <a:ext cx="1325285" cy="346783"/>
        </a:xfrm>
        <a:prstGeom xmlns:a="http://schemas.openxmlformats.org/drawingml/2006/main" prst="rect">
          <a:avLst/>
        </a:prstGeom>
        <a:gradFill xmlns:a="http://schemas.openxmlformats.org/drawingml/2006/main" flip="none" rotWithShape="1">
          <a:gsLst>
            <a:gs pos="0">
              <a:srgbClr val="961206">
                <a:lumMod val="90000"/>
                <a:lumOff val="10000"/>
              </a:srgbClr>
            </a:gs>
            <a:gs pos="100000">
              <a:srgbClr val="712B00">
                <a:lumMod val="0"/>
              </a:srgbClr>
            </a:gs>
          </a:gsLst>
          <a:lin ang="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9.xml><?xml version="1.0" encoding="utf-8"?>
<xdr:wsDr xmlns:xdr="http://schemas.openxmlformats.org/drawingml/2006/spreadsheetDrawing" xmlns:a="http://schemas.openxmlformats.org/drawingml/2006/main">
  <xdr:twoCellAnchor>
    <xdr:from>
      <xdr:col>4</xdr:col>
      <xdr:colOff>50800</xdr:colOff>
      <xdr:row>0</xdr:row>
      <xdr:rowOff>215660</xdr:rowOff>
    </xdr:from>
    <xdr:to>
      <xdr:col>10</xdr:col>
      <xdr:colOff>774700</xdr:colOff>
      <xdr:row>88</xdr:row>
      <xdr:rowOff>5991</xdr:rowOff>
    </xdr:to>
    <xdr:sp macro="" textlink="">
      <xdr:nvSpPr>
        <xdr:cNvPr id="2" name="TextBox 1">
          <a:extLst>
            <a:ext uri="{FF2B5EF4-FFF2-40B4-BE49-F238E27FC236}">
              <a16:creationId xmlns:a16="http://schemas.microsoft.com/office/drawing/2014/main" id="{983097EE-1D5F-044B-A4B9-888E46CAA10E}"/>
            </a:ext>
          </a:extLst>
        </xdr:cNvPr>
        <xdr:cNvSpPr txBox="1"/>
      </xdr:nvSpPr>
      <xdr:spPr>
        <a:xfrm>
          <a:off x="4076460" y="215660"/>
          <a:ext cx="5684089" cy="18109482"/>
        </a:xfrm>
        <a:prstGeom prst="rect">
          <a:avLst/>
        </a:prstGeom>
        <a:solidFill>
          <a:sysClr val="window" lastClr="FFFFFF"/>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FF0000"/>
              </a:solidFill>
            </a:rPr>
            <a:t>Approximate local sidereal time at given UT</a:t>
          </a:r>
        </a:p>
        <a:p>
          <a:endParaRPr lang="en-US" sz="1100" b="0" i="0">
            <a:solidFill>
              <a:schemeClr val="dk1"/>
            </a:solidFill>
            <a:effectLst/>
            <a:latin typeface="+mn-lt"/>
            <a:ea typeface="+mn-ea"/>
            <a:cs typeface="+mn-cs"/>
          </a:endParaRPr>
        </a:p>
        <a:p>
          <a:r>
            <a:rPr lang="en-US" sz="1100" b="0" i="0" baseline="0">
              <a:solidFill>
                <a:schemeClr val="dk1"/>
              </a:solidFill>
              <a:effectLst/>
              <a:latin typeface="+mn-lt"/>
              <a:ea typeface="+mn-ea"/>
              <a:cs typeface="+mn-cs"/>
            </a:rPr>
            <a:t>Define: n = number of days since 1/1/2000 Greenwich noon (use</a:t>
          </a:r>
          <a:r>
            <a:rPr lang="en-US" sz="1100" baseline="0"/>
            <a:t> Excel DATEVALUE to get n).  (This is the same as JD - 2451545.0). </a:t>
          </a:r>
        </a:p>
        <a:p>
          <a:r>
            <a:rPr lang="en-US" sz="1100" baseline="0"/>
            <a:t>	n = datevalue(MM/DD/YYYY) - datevalue("1/1/2000") - 0.5      (for UT 0).</a:t>
          </a:r>
        </a:p>
        <a:p>
          <a:r>
            <a:rPr lang="en-US" sz="1100" baseline="0"/>
            <a:t>Then equation for approx GMST (Greenwich Mean Sidereal Time) is:  </a:t>
          </a:r>
        </a:p>
        <a:p>
          <a:r>
            <a:rPr lang="en-US" sz="1100" b="0" i="0">
              <a:solidFill>
                <a:schemeClr val="dk1"/>
              </a:solidFill>
              <a:effectLst/>
              <a:latin typeface="+mn-lt"/>
              <a:ea typeface="+mn-ea"/>
              <a:cs typeface="+mn-cs"/>
            </a:rPr>
            <a:t>	GMST = mod (18.697375 + 24.065709824279 *n, 24</a:t>
          </a:r>
          <a:r>
            <a:rPr lang="en-US" sz="1100" b="0" i="0" baseline="30000">
              <a:solidFill>
                <a:schemeClr val="dk1"/>
              </a:solidFill>
              <a:effectLst/>
              <a:latin typeface="+mn-lt"/>
              <a:ea typeface="+mn-ea"/>
              <a:cs typeface="+mn-cs"/>
            </a:rPr>
            <a:t>h</a:t>
          </a:r>
          <a:r>
            <a:rPr lang="en-US" sz="1100" b="0" i="0">
              <a:solidFill>
                <a:schemeClr val="dk1"/>
              </a:solidFill>
              <a:effectLst/>
              <a:latin typeface="+mn-lt"/>
              <a:ea typeface="+mn-ea"/>
              <a:cs typeface="+mn-cs"/>
            </a:rPr>
            <a: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See: https://aa.usno.navy.mil/faq/ and look under "approximate sidereal time".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At UT = 0, the local time at Mt Graham = longitude / 15 hours = -109.889/15 = -7.326 hours.</a:t>
          </a:r>
        </a:p>
        <a:p>
          <a:r>
            <a:rPr lang="en-US" sz="1100" baseline="0"/>
            <a:t>So the offset LST - UT = GMST - 7.326 hours.  =This allows us to go to LST for any given date and  UT.</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rgbClr val="FF0000"/>
              </a:solidFill>
            </a:rPr>
            <a:t>Approximate solar position, sunrise/set &amp; twilight times</a:t>
          </a:r>
        </a:p>
        <a:p>
          <a:endParaRPr lang="en-US" sz="1100"/>
        </a:p>
        <a:p>
          <a:r>
            <a:rPr lang="en-US" sz="1100"/>
            <a:t>Simple</a:t>
          </a:r>
          <a:r>
            <a:rPr lang="en-US" sz="1100" baseline="0"/>
            <a:t> equations for solar position given the given UT date.</a:t>
          </a:r>
        </a:p>
        <a:p>
          <a:r>
            <a:rPr lang="en-US" sz="1100" baseline="0"/>
            <a:t>Taken from: https://en.wikipedia.org/wiki/Position_of_the_Sun#Approximate_position </a:t>
          </a:r>
        </a:p>
        <a:p>
          <a:r>
            <a:rPr lang="en-US" sz="1100" baseline="0"/>
            <a:t>Also: Astronomical Almanac page CC5 (2017) which is implemented here:</a:t>
          </a:r>
        </a:p>
        <a:p>
          <a:r>
            <a:rPr lang="en-US" sz="1100" baseline="0"/>
            <a:t>https://celestialprogramming.com/sunPosition-LowPrecisionFromAstronomicalAlmanac.html</a:t>
          </a:r>
        </a:p>
        <a:p>
          <a:endParaRPr lang="en-US" sz="1100" baseline="0"/>
        </a:p>
        <a:p>
          <a:r>
            <a:rPr lang="en-US" sz="1100" baseline="0"/>
            <a:t>n = # days since Jan 1 2000  Greenwich noon (use  Excel DATEVALUE to get n).</a:t>
          </a:r>
        </a:p>
        <a:p>
          <a:endParaRPr lang="en-US" sz="1100" baseline="0"/>
        </a:p>
        <a:p>
          <a:r>
            <a:rPr lang="en-US" sz="1100" baseline="0"/>
            <a:t>L = 280.460 + 0.9856474 x n  (mean longitude)  L = MOD(L,360)</a:t>
          </a:r>
        </a:p>
        <a:p>
          <a:r>
            <a:rPr lang="en-US" sz="1100" baseline="0"/>
            <a:t>g = 357.528 + 0.9856003 x n (mean anomaly)  g = MOD(g,360)</a:t>
          </a:r>
        </a:p>
        <a:p>
          <a:endParaRPr lang="en-US" sz="1100" baseline="0"/>
        </a:p>
        <a:p>
          <a:r>
            <a:rPr lang="en-US" sz="1100" baseline="0"/>
            <a:t>e-long = L + 1.915 sin g  + 0.020 sin 2g   (ecliptic longitude, MOD 360)</a:t>
          </a:r>
        </a:p>
        <a:p>
          <a:r>
            <a:rPr lang="en-US" sz="1100" baseline="0"/>
            <a:t>e-lat = 0</a:t>
          </a:r>
        </a:p>
        <a:p>
          <a:r>
            <a:rPr lang="en-US" sz="1100" baseline="0"/>
            <a:t>obliquity = 23.439 deg.</a:t>
          </a:r>
        </a:p>
        <a:p>
          <a:endParaRPr lang="en-US" sz="1100" baseline="0"/>
        </a:p>
        <a:p>
          <a:r>
            <a:rPr lang="en-US" sz="1100" baseline="0"/>
            <a:t>RA = atan2[cos(obliq) x sin(e-long), cos(e-long) ]   (syntax atan2(x,y)  )</a:t>
          </a:r>
        </a:p>
        <a:p>
          <a:r>
            <a:rPr lang="en-US" sz="1100" baseline="0"/>
            <a:t>Dec = asin(sin(obliq) x sin(e-long))</a:t>
          </a:r>
        </a:p>
        <a:p>
          <a:endParaRPr lang="en-US" sz="1100" baseline="0"/>
        </a:p>
        <a:p>
          <a:r>
            <a:rPr lang="en-US" sz="1100" baseline="0"/>
            <a:t>Famously, objects transit when LST = RA</a:t>
          </a:r>
        </a:p>
        <a:p>
          <a:r>
            <a:rPr lang="en-US" sz="1100" baseline="0"/>
            <a:t>Local solar midnight occurs when LST = RA(sun) + 180 deg = RA(sun)/15 + 12 hr.</a:t>
          </a:r>
        </a:p>
        <a:p>
          <a:r>
            <a:rPr lang="en-US" sz="1100" baseline="0"/>
            <a:t>To get UT midnight, we add LST - UT on that date (see above).</a:t>
          </a:r>
        </a:p>
        <a:p>
          <a:endParaRPr lang="en-US" sz="1100" baseline="0"/>
        </a:p>
        <a:p>
          <a:r>
            <a:rPr lang="en-US" sz="1100" baseline="0"/>
            <a:t>To get rise/set, +/-12, +/-18  deg we need the HA when sun's altitude is 0, -12, -18, which depends only on the sun's dec and observatory latitude.  (For rise/set I use alt = -0.8 deg for refraction).</a:t>
          </a:r>
        </a:p>
        <a:p>
          <a:r>
            <a:rPr lang="en-US" sz="1100" baseline="0"/>
            <a:t>This is time from transit (local noon), so we need 12 - HA to get time from midnight.  </a:t>
          </a:r>
        </a:p>
        <a:p>
          <a:endParaRPr lang="en-US" sz="1100" baseline="0"/>
        </a:p>
        <a:p>
          <a:r>
            <a:rPr lang="en-US" sz="1100" baseline="0"/>
            <a:t>Hour angle of  the sun (or any object) when it reaches an altitude alt is: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(see https://en.wikipedia.org/wiki/Sunrise_equation)</a:t>
          </a:r>
        </a:p>
        <a:p>
          <a:endParaRPr lang="en-US" sz="1100" baseline="0"/>
        </a:p>
        <a:p>
          <a:r>
            <a:rPr lang="en-US" sz="1100" baseline="0"/>
            <a:t>cos HA = [sin(alt) - sin(Lat) x sin(dec) ] / [cos(lat) x cos(dec) ]</a:t>
          </a:r>
        </a:p>
        <a:p>
          <a:endParaRPr lang="en-US" sz="1100" baseline="0"/>
        </a:p>
        <a:p>
          <a:r>
            <a:rPr lang="en-US" sz="1100" baseline="0"/>
            <a:t>This is from transit (local noon), so we need 12 - HA for either side of midnight.</a:t>
          </a:r>
        </a:p>
        <a:p>
          <a:r>
            <a:rPr lang="en-US" sz="1100" baseline="0"/>
            <a:t>All confirmed using: https://aa.usno.navy.mil/data/geocentric</a:t>
          </a:r>
        </a:p>
        <a:p>
          <a:endParaRPr lang="en-US" sz="1100" baseline="0"/>
        </a:p>
        <a:p>
          <a:pPr algn="ctr"/>
          <a:r>
            <a:rPr lang="en-US" sz="1400" baseline="0">
              <a:solidFill>
                <a:srgbClr val="FF0000"/>
              </a:solidFill>
            </a:rPr>
            <a:t>Approximate moon position &amp; phase</a:t>
          </a:r>
          <a:r>
            <a:rPr lang="en-US" sz="1100" baseline="0"/>
            <a:t>.</a:t>
          </a:r>
        </a:p>
        <a:p>
          <a:endParaRPr lang="en-US" sz="1100" baseline="0"/>
        </a:p>
        <a:p>
          <a:r>
            <a:rPr lang="en-US" sz="1100" baseline="0"/>
            <a:t>Lunar position on given UT date.Taken from Astronomical Almanac (2017) page D22. </a:t>
          </a:r>
        </a:p>
        <a:p>
          <a:r>
            <a:rPr lang="en-US" sz="1100" baseline="0"/>
            <a:t>See also: https://celestialprogramming.com/lowprecisionmoonposition.html </a:t>
          </a:r>
        </a:p>
        <a:p>
          <a:r>
            <a:rPr lang="en-US" sz="1100" baseline="0"/>
            <a:t>Reference time is 1/1/2000 = JD 2451544.5</a:t>
          </a:r>
        </a:p>
        <a:p>
          <a:r>
            <a:rPr lang="en-US" sz="1100" baseline="0"/>
            <a:t>To get JD for midnight  (~UT 7 hr) on chosen UT date, use Excel: Datevalue(UT-date) - Datevalue(1/1/2000) + 7/24 + 0.5 (I don't understand why I need the extra 0.5 to get to JD).</a:t>
          </a:r>
        </a:p>
        <a:p>
          <a:r>
            <a:rPr lang="en-US" sz="1100" baseline="0"/>
            <a:t>Then convert to centuries from 1/1/2000 = T</a:t>
          </a:r>
        </a:p>
        <a:p>
          <a:endParaRPr lang="en-US" sz="1100" baseline="0"/>
        </a:p>
        <a:p>
          <a:r>
            <a:rPr lang="en-US" sz="1100" baseline="0"/>
            <a:t>Approximation for moon's ecliptic longitude and latitude have many (7 &amp; 4) oscillating sin terms.</a:t>
          </a:r>
        </a:p>
        <a:p>
          <a:r>
            <a:rPr lang="en-US" sz="1100" baseline="0"/>
            <a:t>Then convert to geocentric equatorical direction cosines, l,m,n, And from these to ra and dec. </a:t>
          </a:r>
        </a:p>
        <a:p>
          <a:endParaRPr lang="en-US" sz="1100" baseline="0"/>
        </a:p>
        <a:p>
          <a:r>
            <a:rPr lang="en-US" sz="1100" baseline="0"/>
            <a:t>Note: the RA, Dec are geocentric -- so on-sky accuarcy is only about 1 deg.</a:t>
          </a:r>
        </a:p>
        <a:p>
          <a:endParaRPr lang="en-US" sz="1100" baseline="0"/>
        </a:p>
        <a:p>
          <a:r>
            <a:rPr lang="en-US" sz="1100" baseline="0"/>
            <a:t>Angle on sky between moon and sun, 𝜃, gives the moon's phase, with 0-deg  for New and 180-deg for Full. The fraction of the disk illuminated is FL = 0.5 * (1 − cos(𝜃) )</a:t>
          </a:r>
        </a:p>
        <a:p>
          <a:endParaRPr lang="en-US" sz="1100" baseline="0"/>
        </a:p>
        <a:p>
          <a:pPr algn="ctr"/>
          <a:r>
            <a:rPr lang="en-US" sz="1400" baseline="0">
              <a:solidFill>
                <a:srgbClr val="FF0000"/>
              </a:solidFill>
            </a:rPr>
            <a:t>Sky brightness from scatterd moonlight</a:t>
          </a:r>
          <a:r>
            <a:rPr lang="en-US" sz="1100" baseline="0"/>
            <a:t>.</a:t>
          </a:r>
        </a:p>
        <a:p>
          <a:endParaRPr lang="en-US" sz="1100" baseline="0"/>
        </a:p>
        <a:p>
          <a:r>
            <a:rPr lang="en-US" sz="1100" baseline="0"/>
            <a:t>Taken from Krisciunas &amp; Schaefer 1991 PASP 103, 1033. </a:t>
          </a:r>
        </a:p>
        <a:p>
          <a:r>
            <a:rPr lang="en-US" sz="1100" baseline="0"/>
            <a:t>The moon's light is scattered from the atmosphere, giving  a surface brightness that depends on:</a:t>
          </a:r>
        </a:p>
        <a:p>
          <a:endParaRPr lang="en-US" sz="1100" baseline="0"/>
        </a:p>
        <a:p>
          <a:r>
            <a:rPr lang="en-US" sz="1100" baseline="0"/>
            <a:t>     a)  The </a:t>
          </a:r>
          <a:r>
            <a:rPr lang="en-US" sz="1100" u="sng" baseline="0"/>
            <a:t>phase</a:t>
          </a:r>
          <a:r>
            <a:rPr lang="en-US" sz="1100" baseline="0"/>
            <a:t> of the moon: 𝛼 = 180 - 𝜃 (0 = full, 180 = new). This gives the moon's brightness:</a:t>
          </a:r>
        </a:p>
        <a:p>
          <a:r>
            <a:rPr lang="en-US" sz="1100" baseline="0"/>
            <a:t>           I* = dex[-0.4*(3.84 + 0.026 𝛼 + 4E-9 𝛼</a:t>
          </a:r>
          <a:r>
            <a:rPr lang="en-US" sz="1100" baseline="30000"/>
            <a:t>4</a:t>
          </a:r>
          <a:r>
            <a:rPr lang="en-US" sz="1100" baseline="0"/>
            <a:t>)]  above the atmosphere (in footcandles).</a:t>
          </a:r>
        </a:p>
        <a:p>
          <a:endParaRPr lang="en-US" sz="1100" baseline="0"/>
        </a:p>
        <a:p>
          <a:r>
            <a:rPr lang="en-US" sz="1100" baseline="0"/>
            <a:t>     b) The moon is dimmed by atmospheric </a:t>
          </a:r>
          <a:r>
            <a:rPr lang="en-US" sz="1100" u="sng" baseline="0"/>
            <a:t>absorption</a:t>
          </a:r>
          <a:r>
            <a:rPr lang="en-US" sz="1100" baseline="0"/>
            <a:t> that depends on the air-mass at the moon: AM</a:t>
          </a:r>
          <a:r>
            <a:rPr lang="en-US" sz="1100" baseline="-25000"/>
            <a:t>m</a:t>
          </a:r>
          <a:r>
            <a:rPr lang="en-US" sz="1100" baseline="0"/>
            <a:t> ~ sec ZD</a:t>
          </a:r>
          <a:r>
            <a:rPr lang="en-US" sz="1100" baseline="-25000"/>
            <a:t>m</a:t>
          </a:r>
          <a:r>
            <a:rPr lang="en-US" sz="1100" baseline="0"/>
            <a:t> . This gives the moon's apparent brightness: I = I* × dex(-0.4 k</a:t>
          </a:r>
          <a:r>
            <a:rPr lang="en-US" sz="1100" baseline="-25000"/>
            <a:t>abs</a:t>
          </a:r>
          <a:r>
            <a:rPr lang="en-US" sz="1100" baseline="0"/>
            <a:t> AM</a:t>
          </a:r>
          <a:r>
            <a:rPr lang="en-US" sz="1100" baseline="-25000"/>
            <a:t>m</a:t>
          </a:r>
          <a:r>
            <a:rPr lang="en-US" sz="1100" baseline="0"/>
            <a:t>) where k</a:t>
          </a:r>
          <a:r>
            <a:rPr lang="en-US" sz="1100" baseline="-25000"/>
            <a:t>abs</a:t>
          </a:r>
          <a:r>
            <a:rPr lang="en-US" sz="1100" baseline="0"/>
            <a:t> is in mag/airmass in the V band at the observatory (see below). </a:t>
          </a:r>
        </a:p>
        <a:p>
          <a:endParaRPr lang="en-US" sz="1100" baseline="0"/>
        </a:p>
        <a:p>
          <a:r>
            <a:rPr lang="en-US" sz="1100" baseline="0"/>
            <a:t>    c) The amount of light </a:t>
          </a:r>
          <a:r>
            <a:rPr lang="en-US" sz="1100" u="sng" baseline="0"/>
            <a:t>scattered</a:t>
          </a:r>
          <a:r>
            <a:rPr lang="en-US" sz="1100" baseline="0"/>
            <a:t> at the location of the object depends on the airmass at the object, and is proportional to: [1 − dex(-0.4 k</a:t>
          </a:r>
          <a:r>
            <a:rPr lang="en-US" sz="1100" baseline="-25000"/>
            <a:t>abs</a:t>
          </a:r>
          <a:r>
            <a:rPr lang="en-US" sz="1100" baseline="0"/>
            <a:t> AM</a:t>
          </a:r>
          <a:r>
            <a:rPr lang="en-US" sz="1100" baseline="-25000"/>
            <a:t>obj</a:t>
          </a:r>
          <a:r>
            <a:rPr lang="en-US" sz="1100" baseline="0"/>
            <a:t>)] where AM</a:t>
          </a:r>
          <a:r>
            <a:rPr lang="en-US" sz="1100" baseline="-25000"/>
            <a:t>obj</a:t>
          </a:r>
          <a:r>
            <a:rPr lang="en-US" sz="1100" baseline="0"/>
            <a:t> ~ sec ZD</a:t>
          </a:r>
          <a:r>
            <a:rPr lang="en-US" sz="1100" baseline="-25000"/>
            <a:t>obj</a:t>
          </a:r>
          <a:r>
            <a:rPr lang="en-US" sz="1100" baseline="0"/>
            <a:t>. </a:t>
          </a:r>
        </a:p>
        <a:p>
          <a:endParaRPr lang="en-US" sz="1100" baseline="0"/>
        </a:p>
        <a:p>
          <a:r>
            <a:rPr lang="en-US" sz="1100" baseline="0"/>
            <a:t>   d) The amount of scattered light depends on the </a:t>
          </a:r>
          <a:r>
            <a:rPr lang="en-US" sz="1100" u="sng" baseline="0"/>
            <a:t>anglar separation</a:t>
          </a:r>
          <a:r>
            <a:rPr lang="en-US" sz="1100" baseline="0"/>
            <a:t>, 𝛽, between the moon and the object. This function includes a normalization to give units of brightness in nano-Lamberts (nL): </a:t>
          </a:r>
        </a:p>
        <a:p>
          <a:r>
            <a:rPr lang="en-US" sz="1100" baseline="0"/>
            <a:t>        f(𝛽) = 10</a:t>
          </a:r>
          <a:r>
            <a:rPr lang="en-US" sz="1100" baseline="30000"/>
            <a:t>5.36</a:t>
          </a:r>
          <a:r>
            <a:rPr lang="en-US" sz="1100" baseline="0"/>
            <a:t> × [1.06 + cos</a:t>
          </a:r>
          <a:r>
            <a:rPr lang="en-US" sz="1100" baseline="30000"/>
            <a:t>2</a:t>
          </a:r>
          <a:r>
            <a:rPr lang="en-US" sz="1100" baseline="0"/>
            <a:t>(𝛽)] + 10</a:t>
          </a:r>
          <a:r>
            <a:rPr lang="en-US" sz="1100" baseline="30000"/>
            <a:t>6.15 - 𝛽/40</a:t>
          </a:r>
          <a:r>
            <a:rPr lang="en-US" sz="1100" baseline="0"/>
            <a:t>  which sums Rayleigh (molecular) and Mie (aerosol). </a:t>
          </a:r>
        </a:p>
        <a:p>
          <a:endParaRPr lang="en-US" sz="1100" baseline="0"/>
        </a:p>
        <a:p>
          <a:r>
            <a:rPr lang="en-US" sz="1100" baseline="0"/>
            <a:t>    e) The final relation for the scattered moonlight at the object is:</a:t>
          </a:r>
        </a:p>
        <a:p>
          <a:r>
            <a:rPr lang="en-US" sz="1100" baseline="0"/>
            <a:t>        B = I* × 10^(-0.4 k</a:t>
          </a:r>
          <a:r>
            <a:rPr lang="en-US" sz="1100" baseline="-25000"/>
            <a:t>abs</a:t>
          </a:r>
          <a:r>
            <a:rPr lang="en-US" sz="1100" baseline="0"/>
            <a:t> AM</a:t>
          </a:r>
          <a:r>
            <a:rPr lang="en-US" sz="1100" baseline="-25000"/>
            <a:t>m</a:t>
          </a:r>
          <a:r>
            <a:rPr lang="en-US" sz="1100" baseline="0"/>
            <a:t>) × [1 − 10^(-0.4 k</a:t>
          </a:r>
          <a:r>
            <a:rPr lang="en-US" sz="1100" baseline="-25000"/>
            <a:t>abs</a:t>
          </a:r>
          <a:r>
            <a:rPr lang="en-US" sz="1100" baseline="0"/>
            <a:t> AM</a:t>
          </a:r>
          <a:r>
            <a:rPr lang="en-US" sz="1100" baseline="-25000"/>
            <a:t>obj</a:t>
          </a:r>
          <a:r>
            <a:rPr lang="en-US" sz="1100" baseline="0"/>
            <a:t>)] × f(𝛽)       nL (nano-Lamberts)</a:t>
          </a:r>
        </a:p>
        <a:p>
          <a:r>
            <a:rPr lang="en-US" sz="1100" baseline="0"/>
            <a:t>and the conversion to V mag/ss is:</a:t>
          </a:r>
        </a:p>
        <a:p>
          <a:r>
            <a:rPr lang="en-US" sz="1100" baseline="0"/>
            <a:t>        V = 22.5 − 1.086 × Ln(B/34.08) </a:t>
          </a:r>
        </a:p>
        <a:p>
          <a:endParaRPr lang="en-US" sz="1100" baseline="0"/>
        </a:p>
        <a:p>
          <a:r>
            <a:rPr lang="en-US" sz="1100" baseline="0"/>
            <a:t>Approximations: (1) relation (a) omits the opposition effect which adds ~35% (-0.33 mag) within ±1 day of full phase; (2) K&amp;S use: AM = [1 − 0.96 sin</a:t>
          </a:r>
          <a:r>
            <a:rPr lang="en-US" sz="1100" baseline="30000"/>
            <a:t>2</a:t>
          </a:r>
          <a:r>
            <a:rPr lang="en-US" sz="1100" baseline="0"/>
            <a:t> (ZD) ]</a:t>
          </a:r>
          <a:r>
            <a:rPr lang="en-US" sz="1100" baseline="30000"/>
            <a:t>-0.5</a:t>
          </a:r>
          <a:r>
            <a:rPr lang="en-US" sz="1100" baseline="0"/>
            <a:t> which is very similar to sec ZD down to ZD ~ 60 deg.  (3) These relations do NOT include the intrinsic dark sky brightness -- just moonlight.  Typical dark sky in V is 21.1 (120 nL).  V (B) pairs are: 20.1 (300), 19.1 (800), 18.1(2000).</a:t>
          </a:r>
        </a:p>
        <a:p>
          <a:endParaRPr lang="en-US" sz="1100" baseline="0"/>
        </a:p>
        <a:p>
          <a:r>
            <a:rPr lang="en-US" sz="1100" baseline="0"/>
            <a:t>Choosing k</a:t>
          </a:r>
          <a:r>
            <a:rPr lang="en-US" sz="1100" baseline="-25000"/>
            <a:t>abs</a:t>
          </a:r>
          <a:r>
            <a:rPr lang="en-US" sz="1100" baseline="0"/>
            <a:t> (zenith absorbtion in V, i.e., mag/airmass) is tricky: the K&amp;S analysis used 0.172 for the 2800m station on Mauna Kea, but each observatory is different. k</a:t>
          </a:r>
          <a:r>
            <a:rPr lang="en-US" sz="1100" baseline="-25000"/>
            <a:t>abs</a:t>
          </a:r>
          <a:r>
            <a:rPr lang="en-US" sz="1100" baseline="0"/>
            <a:t> has contributions from Rayleigh and Mie. Rayleigh is 0.145 × exp(-Elev/8400m) × (𝜆/5100)</a:t>
          </a:r>
          <a:r>
            <a:rPr lang="en-US" sz="1100" baseline="30000"/>
            <a:t>-4</a:t>
          </a:r>
          <a:r>
            <a:rPr lang="en-US" sz="1100" baseline="0"/>
            <a:t> [+ 0.016 for the high ozone layer]. The Mie (aerosol) term is more uncertain since it varies by season and elevation. It is related to the Aerosol Optical Depth (AOD) by k = 2.5 log [exp(AOD</a:t>
          </a:r>
          <a:r>
            <a:rPr lang="en-US" sz="1100" baseline="-25000"/>
            <a:t>5500</a:t>
          </a:r>
          <a:r>
            <a:rPr lang="en-US" sz="1100" baseline="0"/>
            <a:t>) × (𝜆/5500)</a:t>
          </a:r>
          <a:r>
            <a:rPr lang="en-US" sz="1100" baseline="30000"/>
            <a:t>-1.3</a:t>
          </a:r>
          <a:r>
            <a:rPr lang="en-US" sz="1100" baseline="0"/>
            <a:t> ] (you can find this for Mt Graham at https://www.star.nesdis.noaa.gov/smcd/spb/aq/AerosolWatch/ and use GEOS-West layers, and AOD composite]. A value AOD ~ 0.05 or k ~ 0.054 is typical for Desert SW. Adding all these gives k</a:t>
          </a:r>
          <a:r>
            <a:rPr lang="en-US" sz="1100" baseline="-25000"/>
            <a:t>abs</a:t>
          </a:r>
          <a:r>
            <a:rPr lang="en-US" sz="1100" baseline="0"/>
            <a:t> ~ 0.073 + 0.016 + 0.054 = 0.143 (at 5500A or V band).  Note that the angular scattering function, f(𝛽), given in K&amp;S adopts the Rayleigh/Mie ratio for their Mauna Kea site, and I simply kept this for Mt Graham. Note that Mie scattering increases for 𝛽 &gt; 90 deg.</a:t>
          </a:r>
        </a:p>
      </xdr:txBody>
    </xdr:sp>
    <xdr:clientData/>
  </xdr:twoCellAnchor>
  <xdr:twoCellAnchor>
    <xdr:from>
      <xdr:col>22</xdr:col>
      <xdr:colOff>395111</xdr:colOff>
      <xdr:row>2</xdr:row>
      <xdr:rowOff>28224</xdr:rowOff>
    </xdr:from>
    <xdr:to>
      <xdr:col>34</xdr:col>
      <xdr:colOff>328789</xdr:colOff>
      <xdr:row>19</xdr:row>
      <xdr:rowOff>205155</xdr:rowOff>
    </xdr:to>
    <xdr:sp macro="" textlink="">
      <xdr:nvSpPr>
        <xdr:cNvPr id="3" name="TextBox 2">
          <a:extLst>
            <a:ext uri="{FF2B5EF4-FFF2-40B4-BE49-F238E27FC236}">
              <a16:creationId xmlns:a16="http://schemas.microsoft.com/office/drawing/2014/main" id="{DE568D9D-BDF4-7F4E-BE19-5534DFCEE1EA}"/>
            </a:ext>
          </a:extLst>
        </xdr:cNvPr>
        <xdr:cNvSpPr txBox="1"/>
      </xdr:nvSpPr>
      <xdr:spPr>
        <a:xfrm>
          <a:off x="17090726" y="458070"/>
          <a:ext cx="5746371" cy="3723162"/>
        </a:xfrm>
        <a:prstGeom prst="rect">
          <a:avLst/>
        </a:prstGeom>
        <a:solidFill>
          <a:sysClr val="window" lastClr="FFFFFF"/>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rgbClr val="FF0000"/>
              </a:solidFill>
            </a:rPr>
            <a:t>Basic spherical trig relations</a:t>
          </a:r>
        </a:p>
        <a:p>
          <a:endParaRPr lang="en-US" sz="1100"/>
        </a:p>
        <a:p>
          <a:r>
            <a:rPr lang="en-US" sz="1100"/>
            <a:t>Main inputs</a:t>
          </a:r>
          <a:r>
            <a:rPr lang="en-US" sz="1100" baseline="0"/>
            <a:t> are target RA, Dec &amp; UT while the date gives LST − UT (see  textbox on left).</a:t>
          </a:r>
        </a:p>
        <a:p>
          <a:r>
            <a:rPr lang="en-US" sz="1100" baseline="0"/>
            <a:t>     LST = (LST − UT) + UT (mod 24) is the local siderial time at UT for this date.</a:t>
          </a:r>
        </a:p>
        <a:p>
          <a:r>
            <a:rPr lang="en-US" sz="1100" baseline="0"/>
            <a:t>     HA = LST − RA       is the hour angle (−ve before transit, +ve after transit)</a:t>
          </a:r>
        </a:p>
        <a:p>
          <a:endParaRPr lang="en-US" sz="1100" baseline="0"/>
        </a:p>
        <a:p>
          <a:r>
            <a:rPr lang="en-US" sz="1100"/>
            <a:t>Relations</a:t>
          </a:r>
          <a:r>
            <a:rPr lang="en-US" sz="1100" baseline="0"/>
            <a:t> for Alt and Az are:</a:t>
          </a: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Altitude = 180/pi * ASIN [ sin(Lat) sin(Dec) + cos(Lat) cos(Dec) cos(HA) ]</a:t>
          </a:r>
        </a:p>
        <a:p>
          <a:r>
            <a:rPr lang="en-US" sz="1100" baseline="0"/>
            <a:t>     </a:t>
          </a:r>
          <a:r>
            <a:rPr lang="en-US" sz="1100"/>
            <a:t>Azimuth = ATAN2 [ sin(Lat) cos(Dec) cos(HA)  + cos(Lat)</a:t>
          </a:r>
          <a:r>
            <a:rPr lang="en-US" sz="1100" baseline="0"/>
            <a:t> sin(Dec) , cos(Dec) sin(HA) ]  MOD 360</a:t>
          </a:r>
        </a:p>
        <a:p>
          <a:r>
            <a:rPr lang="en-US" sz="1100" baseline="0"/>
            <a:t>where Azimuth is 0 - 360 = N-E-S-W-N, and Excel uses ATAN2 [x,y]</a:t>
          </a:r>
        </a:p>
        <a:p>
          <a:endParaRPr lang="en-US" sz="1100" baseline="0"/>
        </a:p>
        <a:p>
          <a:r>
            <a:rPr lang="en-US" sz="1100" baseline="0"/>
            <a:t>Relations for transit (HA = 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UT at transit = RA − (LST − UT)</a:t>
          </a:r>
        </a:p>
        <a:p>
          <a:r>
            <a:rPr lang="en-US" sz="1100" baseline="0"/>
            <a:t>     Alt(transit) = 180/pi * ASIN [sin(Lat) sin(Dec) + cos(Lat) cos(Dec) ]</a:t>
          </a:r>
        </a:p>
        <a:p>
          <a:endParaRPr lang="en-US" sz="1100" baseline="0"/>
        </a:p>
        <a:p>
          <a:r>
            <a:rPr lang="en-US" sz="1100" baseline="0"/>
            <a:t>Angle between two points (e.g. separation from moon):</a:t>
          </a:r>
        </a:p>
        <a:p>
          <a:r>
            <a:rPr lang="en-US" sz="1100" baseline="0"/>
            <a:t>     Sep = 180/pi * ACOS [ sin(Dec1) sin(Dec2) + cos(Dec1) cos(Dec2) cos(RA1 - RA2) ]</a:t>
          </a:r>
        </a:p>
        <a:p>
          <a:endParaRPr lang="en-US" sz="1100" baseline="0"/>
        </a:p>
        <a:p>
          <a:r>
            <a:rPr lang="en-US" sz="1100"/>
            <a:t>Parallactic angle, PA:</a:t>
          </a:r>
        </a:p>
        <a:p>
          <a:r>
            <a:rPr lang="en-US" sz="1100"/>
            <a:t>     180/pi * ATAN2 [ tan(Lat) cos(Dec) − sin(Dec) cos(HA)  , sin(HA) ]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282222</xdr:colOff>
      <xdr:row>0</xdr:row>
      <xdr:rowOff>112890</xdr:rowOff>
    </xdr:from>
    <xdr:to>
      <xdr:col>5</xdr:col>
      <xdr:colOff>5164666</xdr:colOff>
      <xdr:row>5</xdr:row>
      <xdr:rowOff>42333</xdr:rowOff>
    </xdr:to>
    <xdr:sp macro="" textlink="">
      <xdr:nvSpPr>
        <xdr:cNvPr id="2" name="TextBox 1">
          <a:extLst>
            <a:ext uri="{FF2B5EF4-FFF2-40B4-BE49-F238E27FC236}">
              <a16:creationId xmlns:a16="http://schemas.microsoft.com/office/drawing/2014/main" id="{2698923E-535D-C3F5-D46E-589F5FF41146}"/>
            </a:ext>
          </a:extLst>
        </xdr:cNvPr>
        <xdr:cNvSpPr txBox="1"/>
      </xdr:nvSpPr>
      <xdr:spPr>
        <a:xfrm>
          <a:off x="889000" y="112890"/>
          <a:ext cx="7521222" cy="931332"/>
        </a:xfrm>
        <a:prstGeom prst="rect">
          <a:avLst/>
        </a:prstGeom>
        <a:solidFill>
          <a:schemeClr val="lt1"/>
        </a:solidFill>
        <a:ln w="158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Additional Notes.</a:t>
          </a:r>
        </a:p>
        <a:p>
          <a:r>
            <a:rPr lang="en-US" sz="1100"/>
            <a:t>Use this sheet to make any additional notes</a:t>
          </a:r>
          <a:r>
            <a:rPr lang="en-US" sz="1100" baseline="0"/>
            <a:t> on the target observations (e.g. from the readme files).</a:t>
          </a:r>
        </a:p>
        <a:p>
          <a:r>
            <a:rPr lang="en-US" sz="1100" baseline="0"/>
            <a:t>The target names, partners and prioriries are taken from  sheets MODS, LUCI, LBC, PEPSI, but the notes you enter are independent and stay within this sheet only. </a:t>
          </a:r>
          <a:endParaRPr lang="en-US" sz="1100"/>
        </a:p>
      </xdr:txBody>
    </xdr:sp>
    <xdr:clientData/>
  </xdr:twoCellAnchor>
  <xdr:twoCellAnchor>
    <xdr:from>
      <xdr:col>7</xdr:col>
      <xdr:colOff>0</xdr:colOff>
      <xdr:row>6</xdr:row>
      <xdr:rowOff>0</xdr:rowOff>
    </xdr:from>
    <xdr:to>
      <xdr:col>16</xdr:col>
      <xdr:colOff>789227</xdr:colOff>
      <xdr:row>28</xdr:row>
      <xdr:rowOff>168723</xdr:rowOff>
    </xdr:to>
    <xdr:sp macro="" textlink="">
      <xdr:nvSpPr>
        <xdr:cNvPr id="3" name="TextBox 2">
          <a:extLst>
            <a:ext uri="{FF2B5EF4-FFF2-40B4-BE49-F238E27FC236}">
              <a16:creationId xmlns:a16="http://schemas.microsoft.com/office/drawing/2014/main" id="{119F35EB-9EBB-AA42-8259-A53C7FD32F1F}"/>
            </a:ext>
          </a:extLst>
        </xdr:cNvPr>
        <xdr:cNvSpPr txBox="1"/>
      </xdr:nvSpPr>
      <xdr:spPr>
        <a:xfrm>
          <a:off x="9567333" y="1213556"/>
          <a:ext cx="8282227" cy="4529056"/>
        </a:xfrm>
        <a:prstGeom prst="rect">
          <a:avLst/>
        </a:prstGeom>
        <a:solidFill>
          <a:schemeClr val="lt1"/>
        </a:solidFill>
        <a:ln w="158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rgbClr val="FF0000"/>
              </a:solidFill>
            </a:rPr>
            <a:t>Other notes on the run.</a:t>
          </a:r>
        </a:p>
        <a:p>
          <a:endParaRPr lang="en-US" sz="1100"/>
        </a:p>
        <a:p>
          <a:r>
            <a:rPr lang="en-US" sz="1100"/>
            <a:t>Add any notes here: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38253</xdr:colOff>
      <xdr:row>24</xdr:row>
      <xdr:rowOff>205963</xdr:rowOff>
    </xdr:from>
    <xdr:to>
      <xdr:col>20</xdr:col>
      <xdr:colOff>365125</xdr:colOff>
      <xdr:row>48</xdr:row>
      <xdr:rowOff>58209</xdr:rowOff>
    </xdr:to>
    <xdr:graphicFrame macro="">
      <xdr:nvGraphicFramePr>
        <xdr:cNvPr id="4" name="Chart 3">
          <a:extLst>
            <a:ext uri="{FF2B5EF4-FFF2-40B4-BE49-F238E27FC236}">
              <a16:creationId xmlns:a16="http://schemas.microsoft.com/office/drawing/2014/main" id="{74BEB1E9-8ED6-D05C-C9CB-35BD7E37F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50598</xdr:colOff>
      <xdr:row>1</xdr:row>
      <xdr:rowOff>2318</xdr:rowOff>
    </xdr:from>
    <xdr:to>
      <xdr:col>20</xdr:col>
      <xdr:colOff>365125</xdr:colOff>
      <xdr:row>24</xdr:row>
      <xdr:rowOff>47625</xdr:rowOff>
    </xdr:to>
    <xdr:graphicFrame macro="">
      <xdr:nvGraphicFramePr>
        <xdr:cNvPr id="9" name="Chart 8">
          <a:extLst>
            <a:ext uri="{FF2B5EF4-FFF2-40B4-BE49-F238E27FC236}">
              <a16:creationId xmlns:a16="http://schemas.microsoft.com/office/drawing/2014/main" id="{FCCCA572-BC06-5CE3-14BB-D6AF01F12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107418</xdr:colOff>
      <xdr:row>24</xdr:row>
      <xdr:rowOff>90839</xdr:rowOff>
    </xdr:from>
    <xdr:to>
      <xdr:col>34</xdr:col>
      <xdr:colOff>503047</xdr:colOff>
      <xdr:row>62</xdr:row>
      <xdr:rowOff>198614</xdr:rowOff>
    </xdr:to>
    <xdr:graphicFrame macro="">
      <xdr:nvGraphicFramePr>
        <xdr:cNvPr id="3" name="Chart 2">
          <a:extLst>
            <a:ext uri="{FF2B5EF4-FFF2-40B4-BE49-F238E27FC236}">
              <a16:creationId xmlns:a16="http://schemas.microsoft.com/office/drawing/2014/main" id="{A5B2A6F0-DD72-8424-37D0-A732DC7058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0.08849</cdr:x>
      <cdr:y>0.60597</cdr:y>
    </cdr:from>
    <cdr:to>
      <cdr:x>0.9681</cdr:x>
      <cdr:y>0.85051</cdr:y>
    </cdr:to>
    <cdr:sp macro="" textlink="">
      <cdr:nvSpPr>
        <cdr:cNvPr id="2" name="Rectangle 1">
          <a:extLst xmlns:a="http://schemas.openxmlformats.org/drawingml/2006/main">
            <a:ext uri="{FF2B5EF4-FFF2-40B4-BE49-F238E27FC236}">
              <a16:creationId xmlns:a16="http://schemas.microsoft.com/office/drawing/2014/main" id="{48F3FD8B-C5B5-E67A-E8B4-FADA8301010D}"/>
            </a:ext>
          </a:extLst>
        </cdr:cNvPr>
        <cdr:cNvSpPr/>
      </cdr:nvSpPr>
      <cdr:spPr>
        <a:xfrm xmlns:a="http://schemas.openxmlformats.org/drawingml/2006/main">
          <a:off x="718722" y="2847584"/>
          <a:ext cx="7143879" cy="1149147"/>
        </a:xfrm>
        <a:prstGeom xmlns:a="http://schemas.openxmlformats.org/drawingml/2006/main" prst="rect">
          <a:avLst/>
        </a:prstGeom>
        <a:gradFill xmlns:a="http://schemas.openxmlformats.org/drawingml/2006/main">
          <a:gsLst>
            <a:gs pos="0">
              <a:schemeClr val="accent1">
                <a:lumMod val="40000"/>
                <a:lumOff val="60000"/>
                <a:alpha val="18000"/>
              </a:schemeClr>
            </a:gs>
            <a:gs pos="100000">
              <a:schemeClr val="accent1">
                <a:lumMod val="0"/>
                <a:alpha val="15000"/>
              </a:schemeClr>
            </a:gs>
          </a:gsLst>
          <a:lin ang="5400000" scaled="1"/>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0.86889</cdr:x>
      <cdr:y>0.14346</cdr:y>
    </cdr:from>
    <cdr:to>
      <cdr:x>0.96171</cdr:x>
      <cdr:y>0.85213</cdr:y>
    </cdr:to>
    <cdr:sp macro="" textlink="">
      <cdr:nvSpPr>
        <cdr:cNvPr id="2" name="Rectangle 1">
          <a:extLst xmlns:a="http://schemas.openxmlformats.org/drawingml/2006/main">
            <a:ext uri="{FF2B5EF4-FFF2-40B4-BE49-F238E27FC236}">
              <a16:creationId xmlns:a16="http://schemas.microsoft.com/office/drawing/2014/main" id="{CB4115C8-AF0B-A34A-A5F5-E72793D3B5C1}"/>
            </a:ext>
          </a:extLst>
        </cdr:cNvPr>
        <cdr:cNvSpPr/>
      </cdr:nvSpPr>
      <cdr:spPr>
        <a:xfrm xmlns:a="http://schemas.openxmlformats.org/drawingml/2006/main">
          <a:off x="7048692" y="687906"/>
          <a:ext cx="752986" cy="3398149"/>
        </a:xfrm>
        <a:prstGeom xmlns:a="http://schemas.openxmlformats.org/drawingml/2006/main" prst="rect">
          <a:avLst/>
        </a:prstGeom>
        <a:gradFill xmlns:a="http://schemas.openxmlformats.org/drawingml/2006/main" flip="none" rotWithShape="1">
          <a:gsLst>
            <a:gs pos="0">
              <a:schemeClr val="bg1">
                <a:alpha val="43000"/>
              </a:schemeClr>
            </a:gs>
            <a:gs pos="100000">
              <a:schemeClr val="tx1">
                <a:alpha val="45000"/>
              </a:schemeClr>
            </a:gs>
          </a:gsLst>
          <a:lin ang="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ln>
              <a:solidFill>
                <a:schemeClr val="tx1"/>
              </a:solidFill>
            </a:ln>
          </a:endParaRPr>
        </a:p>
      </cdr:txBody>
    </cdr:sp>
  </cdr:relSizeAnchor>
  <cdr:relSizeAnchor xmlns:cdr="http://schemas.openxmlformats.org/drawingml/2006/chartDrawing">
    <cdr:from>
      <cdr:x>0.10555</cdr:x>
      <cdr:y>0.14346</cdr:y>
    </cdr:from>
    <cdr:to>
      <cdr:x>0.19845</cdr:x>
      <cdr:y>0.85173</cdr:y>
    </cdr:to>
    <cdr:sp macro="" textlink="">
      <cdr:nvSpPr>
        <cdr:cNvPr id="3" name="Rectangle 2">
          <a:extLst xmlns:a="http://schemas.openxmlformats.org/drawingml/2006/main">
            <a:ext uri="{FF2B5EF4-FFF2-40B4-BE49-F238E27FC236}">
              <a16:creationId xmlns:a16="http://schemas.microsoft.com/office/drawing/2014/main" id="{76782FE1-32D7-4B2B-F797-9DAD04297080}"/>
            </a:ext>
          </a:extLst>
        </cdr:cNvPr>
        <cdr:cNvSpPr/>
      </cdr:nvSpPr>
      <cdr:spPr>
        <a:xfrm xmlns:a="http://schemas.openxmlformats.org/drawingml/2006/main" rot="10800000">
          <a:off x="856507" y="679119"/>
          <a:ext cx="753832" cy="3352755"/>
        </a:xfrm>
        <a:prstGeom xmlns:a="http://schemas.openxmlformats.org/drawingml/2006/main" prst="rect">
          <a:avLst/>
        </a:prstGeom>
        <a:gradFill xmlns:a="http://schemas.openxmlformats.org/drawingml/2006/main" flip="none" rotWithShape="1">
          <a:gsLst>
            <a:gs pos="0">
              <a:schemeClr val="bg1">
                <a:alpha val="43000"/>
              </a:schemeClr>
            </a:gs>
            <a:gs pos="100000">
              <a:schemeClr val="tx1">
                <a:alpha val="45000"/>
              </a:schemeClr>
            </a:gs>
          </a:gsLst>
          <a:lin ang="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ln>
              <a:solidFill>
                <a:schemeClr val="tx1"/>
              </a:solidFill>
            </a:ln>
          </a:endParaRPr>
        </a:p>
      </cdr:txBody>
    </cdr:sp>
  </cdr:relSizeAnchor>
  <cdr:relSizeAnchor xmlns:cdr="http://schemas.openxmlformats.org/drawingml/2006/chartDrawing">
    <cdr:from>
      <cdr:x>0.09103</cdr:x>
      <cdr:y>0.61207</cdr:y>
    </cdr:from>
    <cdr:to>
      <cdr:x>0.97198</cdr:x>
      <cdr:y>0.85673</cdr:y>
    </cdr:to>
    <cdr:sp macro="" textlink="">
      <cdr:nvSpPr>
        <cdr:cNvPr id="5" name="Rectangle 4">
          <a:extLst xmlns:a="http://schemas.openxmlformats.org/drawingml/2006/main">
            <a:ext uri="{FF2B5EF4-FFF2-40B4-BE49-F238E27FC236}">
              <a16:creationId xmlns:a16="http://schemas.microsoft.com/office/drawing/2014/main" id="{9B1328C6-E1C1-5D11-E953-F231BCD52B4B}"/>
            </a:ext>
          </a:extLst>
        </cdr:cNvPr>
        <cdr:cNvSpPr/>
      </cdr:nvSpPr>
      <cdr:spPr>
        <a:xfrm xmlns:a="http://schemas.openxmlformats.org/drawingml/2006/main">
          <a:off x="738429" y="2934948"/>
          <a:ext cx="7146554" cy="1173171"/>
        </a:xfrm>
        <a:prstGeom xmlns:a="http://schemas.openxmlformats.org/drawingml/2006/main" prst="rect">
          <a:avLst/>
        </a:prstGeom>
        <a:gradFill xmlns:a="http://schemas.openxmlformats.org/drawingml/2006/main">
          <a:gsLst>
            <a:gs pos="0">
              <a:schemeClr val="accent1">
                <a:lumMod val="40000"/>
                <a:lumOff val="60000"/>
                <a:alpha val="18000"/>
              </a:schemeClr>
            </a:gs>
            <a:gs pos="100000">
              <a:schemeClr val="accent1">
                <a:lumMod val="0"/>
                <a:alpha val="15000"/>
              </a:schemeClr>
            </a:gs>
          </a:gsLst>
          <a:lin ang="5400000" scaled="1"/>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38253</xdr:colOff>
      <xdr:row>24</xdr:row>
      <xdr:rowOff>205963</xdr:rowOff>
    </xdr:from>
    <xdr:to>
      <xdr:col>20</xdr:col>
      <xdr:colOff>365125</xdr:colOff>
      <xdr:row>48</xdr:row>
      <xdr:rowOff>58209</xdr:rowOff>
    </xdr:to>
    <xdr:graphicFrame macro="">
      <xdr:nvGraphicFramePr>
        <xdr:cNvPr id="2" name="Chart 1">
          <a:extLst>
            <a:ext uri="{FF2B5EF4-FFF2-40B4-BE49-F238E27FC236}">
              <a16:creationId xmlns:a16="http://schemas.microsoft.com/office/drawing/2014/main" id="{6DDF7BE2-FD02-AF42-90E1-689AF5C4C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50598</xdr:colOff>
      <xdr:row>1</xdr:row>
      <xdr:rowOff>2318</xdr:rowOff>
    </xdr:from>
    <xdr:to>
      <xdr:col>20</xdr:col>
      <xdr:colOff>365125</xdr:colOff>
      <xdr:row>24</xdr:row>
      <xdr:rowOff>47625</xdr:rowOff>
    </xdr:to>
    <xdr:graphicFrame macro="">
      <xdr:nvGraphicFramePr>
        <xdr:cNvPr id="4" name="Chart 3">
          <a:extLst>
            <a:ext uri="{FF2B5EF4-FFF2-40B4-BE49-F238E27FC236}">
              <a16:creationId xmlns:a16="http://schemas.microsoft.com/office/drawing/2014/main" id="{177E5582-EA1B-E548-9798-14648F45B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50871</xdr:colOff>
      <xdr:row>24</xdr:row>
      <xdr:rowOff>67006</xdr:rowOff>
    </xdr:from>
    <xdr:to>
      <xdr:col>34</xdr:col>
      <xdr:colOff>510000</xdr:colOff>
      <xdr:row>62</xdr:row>
      <xdr:rowOff>180569</xdr:rowOff>
    </xdr:to>
    <xdr:graphicFrame macro="">
      <xdr:nvGraphicFramePr>
        <xdr:cNvPr id="6" name="Chart 5">
          <a:extLst>
            <a:ext uri="{FF2B5EF4-FFF2-40B4-BE49-F238E27FC236}">
              <a16:creationId xmlns:a16="http://schemas.microsoft.com/office/drawing/2014/main" id="{9B1271BF-3183-8047-825E-95303DCBFC3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0.08706</cdr:x>
      <cdr:y>0.60982</cdr:y>
    </cdr:from>
    <cdr:to>
      <cdr:x>0.96667</cdr:x>
      <cdr:y>0.85436</cdr:y>
    </cdr:to>
    <cdr:sp macro="" textlink="">
      <cdr:nvSpPr>
        <cdr:cNvPr id="2" name="Rectangle 1">
          <a:extLst xmlns:a="http://schemas.openxmlformats.org/drawingml/2006/main">
            <a:ext uri="{FF2B5EF4-FFF2-40B4-BE49-F238E27FC236}">
              <a16:creationId xmlns:a16="http://schemas.microsoft.com/office/drawing/2014/main" id="{48F3FD8B-C5B5-E67A-E8B4-FADA8301010D}"/>
            </a:ext>
          </a:extLst>
        </cdr:cNvPr>
        <cdr:cNvSpPr/>
      </cdr:nvSpPr>
      <cdr:spPr>
        <a:xfrm xmlns:a="http://schemas.openxmlformats.org/drawingml/2006/main">
          <a:off x="710792" y="2874994"/>
          <a:ext cx="7181652" cy="1152913"/>
        </a:xfrm>
        <a:prstGeom xmlns:a="http://schemas.openxmlformats.org/drawingml/2006/main" prst="rect">
          <a:avLst/>
        </a:prstGeom>
        <a:gradFill xmlns:a="http://schemas.openxmlformats.org/drawingml/2006/main">
          <a:gsLst>
            <a:gs pos="0">
              <a:schemeClr val="accent1">
                <a:lumMod val="40000"/>
                <a:lumOff val="60000"/>
                <a:alpha val="18000"/>
              </a:schemeClr>
            </a:gs>
            <a:gs pos="100000">
              <a:schemeClr val="accent1">
                <a:lumMod val="0"/>
                <a:alpha val="15000"/>
              </a:schemeClr>
            </a:gs>
          </a:gsLst>
          <a:lin ang="5400000" scaled="1"/>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0.81823</cdr:x>
      <cdr:y>0.14239</cdr:y>
    </cdr:from>
    <cdr:to>
      <cdr:x>0.91117</cdr:x>
      <cdr:y>0.84467</cdr:y>
    </cdr:to>
    <cdr:sp macro="" textlink="">
      <cdr:nvSpPr>
        <cdr:cNvPr id="2" name="Rectangle 1">
          <a:extLst xmlns:a="http://schemas.openxmlformats.org/drawingml/2006/main">
            <a:ext uri="{FF2B5EF4-FFF2-40B4-BE49-F238E27FC236}">
              <a16:creationId xmlns:a16="http://schemas.microsoft.com/office/drawing/2014/main" id="{CB4115C8-AF0B-A34A-A5F5-E72793D3B5C1}"/>
            </a:ext>
          </a:extLst>
        </cdr:cNvPr>
        <cdr:cNvSpPr/>
      </cdr:nvSpPr>
      <cdr:spPr>
        <a:xfrm xmlns:a="http://schemas.openxmlformats.org/drawingml/2006/main">
          <a:off x="6636997" y="690863"/>
          <a:ext cx="753846" cy="3407474"/>
        </a:xfrm>
        <a:prstGeom xmlns:a="http://schemas.openxmlformats.org/drawingml/2006/main" prst="rect">
          <a:avLst/>
        </a:prstGeom>
        <a:gradFill xmlns:a="http://schemas.openxmlformats.org/drawingml/2006/main" flip="none" rotWithShape="1">
          <a:gsLst>
            <a:gs pos="0">
              <a:schemeClr val="bg1">
                <a:alpha val="43000"/>
              </a:schemeClr>
            </a:gs>
            <a:gs pos="100000">
              <a:schemeClr val="tx1">
                <a:alpha val="45000"/>
              </a:schemeClr>
            </a:gs>
          </a:gsLst>
          <a:lin ang="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ln>
              <a:solidFill>
                <a:schemeClr val="tx1"/>
              </a:solidFill>
            </a:ln>
          </a:endParaRPr>
        </a:p>
      </cdr:txBody>
    </cdr:sp>
  </cdr:relSizeAnchor>
  <cdr:relSizeAnchor xmlns:cdr="http://schemas.openxmlformats.org/drawingml/2006/chartDrawing">
    <cdr:from>
      <cdr:x>0.13783</cdr:x>
      <cdr:y>0.14901</cdr:y>
    </cdr:from>
    <cdr:to>
      <cdr:x>0.23159</cdr:x>
      <cdr:y>0.85897</cdr:y>
    </cdr:to>
    <cdr:sp macro="" textlink="">
      <cdr:nvSpPr>
        <cdr:cNvPr id="3" name="Rectangle 2">
          <a:extLst xmlns:a="http://schemas.openxmlformats.org/drawingml/2006/main">
            <a:ext uri="{FF2B5EF4-FFF2-40B4-BE49-F238E27FC236}">
              <a16:creationId xmlns:a16="http://schemas.microsoft.com/office/drawing/2014/main" id="{76782FE1-32D7-4B2B-F797-9DAD04297080}"/>
            </a:ext>
          </a:extLst>
        </cdr:cNvPr>
        <cdr:cNvSpPr/>
      </cdr:nvSpPr>
      <cdr:spPr>
        <a:xfrm xmlns:a="http://schemas.openxmlformats.org/drawingml/2006/main" rot="10800000">
          <a:off x="1118012" y="722999"/>
          <a:ext cx="760521" cy="3444737"/>
        </a:xfrm>
        <a:prstGeom xmlns:a="http://schemas.openxmlformats.org/drawingml/2006/main" prst="rect">
          <a:avLst/>
        </a:prstGeom>
        <a:gradFill xmlns:a="http://schemas.openxmlformats.org/drawingml/2006/main" flip="none" rotWithShape="1">
          <a:gsLst>
            <a:gs pos="0">
              <a:schemeClr val="bg1">
                <a:alpha val="43000"/>
              </a:schemeClr>
            </a:gs>
            <a:gs pos="100000">
              <a:schemeClr val="tx1">
                <a:alpha val="45000"/>
              </a:schemeClr>
            </a:gs>
          </a:gsLst>
          <a:lin ang="0" scaled="1"/>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ln>
              <a:solidFill>
                <a:schemeClr val="tx1"/>
              </a:solidFill>
            </a:ln>
          </a:endParaRPr>
        </a:p>
      </cdr:txBody>
    </cdr:sp>
  </cdr:relSizeAnchor>
  <cdr:relSizeAnchor xmlns:cdr="http://schemas.openxmlformats.org/drawingml/2006/chartDrawing">
    <cdr:from>
      <cdr:x>0.08923</cdr:x>
      <cdr:y>0.61251</cdr:y>
    </cdr:from>
    <cdr:to>
      <cdr:x>0.97018</cdr:x>
      <cdr:y>0.85201</cdr:y>
    </cdr:to>
    <cdr:sp macro="" textlink="">
      <cdr:nvSpPr>
        <cdr:cNvPr id="5" name="Rectangle 4">
          <a:extLst xmlns:a="http://schemas.openxmlformats.org/drawingml/2006/main">
            <a:ext uri="{FF2B5EF4-FFF2-40B4-BE49-F238E27FC236}">
              <a16:creationId xmlns:a16="http://schemas.microsoft.com/office/drawing/2014/main" id="{9B1328C6-E1C1-5D11-E953-F231BCD52B4B}"/>
            </a:ext>
          </a:extLst>
        </cdr:cNvPr>
        <cdr:cNvSpPr/>
      </cdr:nvSpPr>
      <cdr:spPr>
        <a:xfrm xmlns:a="http://schemas.openxmlformats.org/drawingml/2006/main">
          <a:off x="723988" y="2919796"/>
          <a:ext cx="7147791" cy="1141673"/>
        </a:xfrm>
        <a:prstGeom xmlns:a="http://schemas.openxmlformats.org/drawingml/2006/main" prst="rect">
          <a:avLst/>
        </a:prstGeom>
        <a:gradFill xmlns:a="http://schemas.openxmlformats.org/drawingml/2006/main">
          <a:gsLst>
            <a:gs pos="0">
              <a:schemeClr val="accent1">
                <a:lumMod val="40000"/>
                <a:lumOff val="60000"/>
                <a:alpha val="18000"/>
              </a:schemeClr>
            </a:gs>
            <a:gs pos="100000">
              <a:schemeClr val="accent1">
                <a:lumMod val="0"/>
                <a:alpha val="15000"/>
              </a:schemeClr>
            </a:gs>
          </a:gsLst>
          <a:lin ang="5400000" scaled="1"/>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9.xml><?xml version="1.0" encoding="utf-8"?>
<xdr:wsDr xmlns:xdr="http://schemas.openxmlformats.org/drawingml/2006/spreadsheetDrawing" xmlns:a="http://schemas.openxmlformats.org/drawingml/2006/main">
  <xdr:twoCellAnchor>
    <xdr:from>
      <xdr:col>4</xdr:col>
      <xdr:colOff>38253</xdr:colOff>
      <xdr:row>24</xdr:row>
      <xdr:rowOff>205963</xdr:rowOff>
    </xdr:from>
    <xdr:to>
      <xdr:col>20</xdr:col>
      <xdr:colOff>365125</xdr:colOff>
      <xdr:row>48</xdr:row>
      <xdr:rowOff>58209</xdr:rowOff>
    </xdr:to>
    <xdr:graphicFrame macro="">
      <xdr:nvGraphicFramePr>
        <xdr:cNvPr id="2" name="Chart 1">
          <a:extLst>
            <a:ext uri="{FF2B5EF4-FFF2-40B4-BE49-F238E27FC236}">
              <a16:creationId xmlns:a16="http://schemas.microsoft.com/office/drawing/2014/main" id="{FC61FA35-DAB0-9740-AB20-BB370786D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50598</xdr:colOff>
      <xdr:row>1</xdr:row>
      <xdr:rowOff>2318</xdr:rowOff>
    </xdr:from>
    <xdr:to>
      <xdr:col>20</xdr:col>
      <xdr:colOff>365125</xdr:colOff>
      <xdr:row>24</xdr:row>
      <xdr:rowOff>47625</xdr:rowOff>
    </xdr:to>
    <xdr:graphicFrame macro="">
      <xdr:nvGraphicFramePr>
        <xdr:cNvPr id="4" name="Chart 3">
          <a:extLst>
            <a:ext uri="{FF2B5EF4-FFF2-40B4-BE49-F238E27FC236}">
              <a16:creationId xmlns:a16="http://schemas.microsoft.com/office/drawing/2014/main" id="{D6EE9BDD-6406-6C42-9BC8-75C6EF5CE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54598</xdr:colOff>
      <xdr:row>24</xdr:row>
      <xdr:rowOff>80159</xdr:rowOff>
    </xdr:from>
    <xdr:to>
      <xdr:col>34</xdr:col>
      <xdr:colOff>522386</xdr:colOff>
      <xdr:row>62</xdr:row>
      <xdr:rowOff>192552</xdr:rowOff>
    </xdr:to>
    <xdr:graphicFrame macro="">
      <xdr:nvGraphicFramePr>
        <xdr:cNvPr id="6" name="Chart 5">
          <a:extLst>
            <a:ext uri="{FF2B5EF4-FFF2-40B4-BE49-F238E27FC236}">
              <a16:creationId xmlns:a16="http://schemas.microsoft.com/office/drawing/2014/main" id="{CB2FFC88-30A2-6443-AAD8-27820E446D9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2497-F51B-A342-A46F-B20FAD011F25}">
  <dimension ref="K1:Q31"/>
  <sheetViews>
    <sheetView topLeftCell="P1" zoomScale="130" zoomScaleNormal="130" workbookViewId="0">
      <selection activeCell="L26" sqref="L26:O26"/>
    </sheetView>
  </sheetViews>
  <sheetFormatPr baseColWidth="10" defaultRowHeight="16" x14ac:dyDescent="0.2"/>
  <sheetData>
    <row r="1" spans="11:17" ht="17" thickBot="1" x14ac:dyDescent="0.25"/>
    <row r="2" spans="11:17" ht="17" thickBot="1" x14ac:dyDescent="0.25">
      <c r="N2" s="265" t="s">
        <v>289</v>
      </c>
      <c r="O2" s="266"/>
      <c r="P2" s="266"/>
      <c r="Q2" s="267"/>
    </row>
    <row r="4" spans="11:17" ht="17" thickBot="1" x14ac:dyDescent="0.25"/>
    <row r="5" spans="11:17" ht="17" thickBot="1" x14ac:dyDescent="0.25">
      <c r="K5" s="268" t="s">
        <v>213</v>
      </c>
      <c r="L5" s="269"/>
      <c r="M5" s="270"/>
    </row>
    <row r="6" spans="11:17" x14ac:dyDescent="0.2">
      <c r="K6" s="6"/>
      <c r="M6" s="14"/>
    </row>
    <row r="7" spans="11:17" x14ac:dyDescent="0.2">
      <c r="K7" s="31" t="s">
        <v>49</v>
      </c>
      <c r="L7" s="5">
        <v>2</v>
      </c>
      <c r="M7" s="14" t="s">
        <v>17</v>
      </c>
    </row>
    <row r="8" spans="11:17" x14ac:dyDescent="0.2">
      <c r="K8" s="31" t="s">
        <v>50</v>
      </c>
      <c r="L8" s="5">
        <v>27</v>
      </c>
      <c r="M8" s="14" t="s">
        <v>10</v>
      </c>
    </row>
    <row r="9" spans="11:17" x14ac:dyDescent="0.2">
      <c r="K9" s="31" t="s">
        <v>51</v>
      </c>
      <c r="L9" s="5">
        <v>2025</v>
      </c>
      <c r="M9" s="14" t="s">
        <v>17</v>
      </c>
    </row>
    <row r="10" spans="11:17" x14ac:dyDescent="0.2">
      <c r="K10" s="31" t="s">
        <v>103</v>
      </c>
      <c r="L10" s="5">
        <v>-5</v>
      </c>
      <c r="M10" s="14" t="s">
        <v>3</v>
      </c>
    </row>
    <row r="11" spans="11:17" ht="17" thickBot="1" x14ac:dyDescent="0.25">
      <c r="K11" s="8"/>
      <c r="L11" s="9"/>
      <c r="M11" s="15"/>
    </row>
    <row r="13" spans="11:17" ht="17" thickBot="1" x14ac:dyDescent="0.25"/>
    <row r="14" spans="11:17" x14ac:dyDescent="0.2">
      <c r="L14" s="274" t="s">
        <v>145</v>
      </c>
      <c r="M14" s="275"/>
      <c r="N14" s="275"/>
      <c r="O14" s="276"/>
    </row>
    <row r="15" spans="11:17" ht="17" thickBot="1" x14ac:dyDescent="0.25">
      <c r="K15" s="1"/>
      <c r="L15" s="277"/>
      <c r="M15" s="278"/>
      <c r="N15" s="278"/>
      <c r="O15" s="279"/>
    </row>
    <row r="16" spans="11:17" x14ac:dyDescent="0.2">
      <c r="K16" s="113"/>
      <c r="L16" s="271" t="s">
        <v>133</v>
      </c>
      <c r="M16" s="272"/>
      <c r="N16" s="272"/>
      <c r="O16" s="273"/>
      <c r="P16" s="106"/>
    </row>
    <row r="17" spans="11:16" x14ac:dyDescent="0.2">
      <c r="K17" s="114"/>
      <c r="L17" s="120" t="s">
        <v>112</v>
      </c>
      <c r="M17" s="119" t="s">
        <v>114</v>
      </c>
      <c r="N17" s="119" t="s">
        <v>113</v>
      </c>
      <c r="O17" s="119" t="s">
        <v>115</v>
      </c>
      <c r="P17" s="121" t="s">
        <v>146</v>
      </c>
    </row>
    <row r="18" spans="11:16" x14ac:dyDescent="0.2">
      <c r="K18" s="122" t="s">
        <v>31</v>
      </c>
      <c r="L18" s="35">
        <f>SUMIFS(MODS!AC5:AC24,MODS!Z5:Z24,"done",MODS!X5:X24,"OSU")</f>
        <v>1.7</v>
      </c>
      <c r="M18" s="35">
        <f>SUMIFS(MODS!AC5:AC24,MODS!Z5:Z24,"done",MODS!X5:X24,"UM")</f>
        <v>0</v>
      </c>
      <c r="N18" s="35">
        <f>SUMIFS(MODS!AC5:AC24,MODS!Z5:Z24,"done",MODS!X5:X24,"ND")</f>
        <v>0</v>
      </c>
      <c r="O18" s="35">
        <f>SUMIFS(MODS!AC5:AC24,MODS!Z5:Z24,"done",MODS!X5:X24,"UVa")</f>
        <v>0</v>
      </c>
      <c r="P18" s="123">
        <f>SUM(L18:O18)</f>
        <v>1.7</v>
      </c>
    </row>
    <row r="19" spans="11:16" x14ac:dyDescent="0.2">
      <c r="K19" s="124" t="s">
        <v>44</v>
      </c>
      <c r="L19" s="35">
        <f>SUMIFS(LUCI!AC5:AC24,LUCI!Z5:Z24,"done",LUCI!X5:X24,"OSU")</f>
        <v>0</v>
      </c>
      <c r="M19" s="35">
        <f>SUMIFS(LUCI!AC5:AC24,LUCI!Z5:Z24,"done",LUCI!X5:X24,"UM")</f>
        <v>0</v>
      </c>
      <c r="N19" s="35">
        <f>SUMIFS(LUCI!AC5:AC24,LUCI!Z5:Z24,"done",LUCI!X5:X24,"ND")</f>
        <v>0</v>
      </c>
      <c r="O19" s="35">
        <f>SUMIFS(LUCI!AC5:AC24,LUCI!Z5:Z24,"done",LUCI!X5:X24,"UVa")</f>
        <v>0</v>
      </c>
      <c r="P19" s="123">
        <f>SUM(L19:O19)</f>
        <v>0</v>
      </c>
    </row>
    <row r="20" spans="11:16" x14ac:dyDescent="0.2">
      <c r="K20" s="125" t="s">
        <v>45</v>
      </c>
      <c r="L20" s="35">
        <f>SUMIFS(LBC!AC5:AC24,LBC!Z5:Z24,"done",LBC!X5:X24,"OSU")</f>
        <v>0</v>
      </c>
      <c r="M20" s="35">
        <f>SUMIFS(LBC!AC5:AC24,LBC!Z5:Z24,"done",LBC!X5:X24,"UM")</f>
        <v>0</v>
      </c>
      <c r="N20" s="35">
        <f>SUMIFS(LBC!AC5:AC24,LBC!Z5:Z24,"done",LBC!X5:X24,"ND")</f>
        <v>0</v>
      </c>
      <c r="O20" s="35">
        <f>SUMIFS(LBC!AC5:AC24,LBC!Z5:Z24,"done",LBC!X5:X24,"UVa")</f>
        <v>0</v>
      </c>
      <c r="P20" s="123">
        <f>SUM(L20:O20)</f>
        <v>0</v>
      </c>
    </row>
    <row r="21" spans="11:16" x14ac:dyDescent="0.2">
      <c r="K21" s="126" t="s">
        <v>65</v>
      </c>
      <c r="L21" s="35">
        <f>SUMIFS(PEPSI!AC5:AC24,PEPSI!Z5:Z24,"done",PEPSI!X5:X24,"OSU")</f>
        <v>0</v>
      </c>
      <c r="M21" s="35">
        <f>SUMIFS(PEPSI!AC5:AC24,PEPSI!Z5:Z24,"done",PEPSI!X5:X24,"UM")</f>
        <v>0</v>
      </c>
      <c r="N21" s="35">
        <f>SUMIFS(PEPSI!AC5:AC24,PEPSI!Z5:Z24,"done",PEPSI!X5:X24,"ND")</f>
        <v>0</v>
      </c>
      <c r="O21" s="35">
        <f>SUMIFS(PEPSI!AC5:AC24,PEPSI!Z5:Z24,"done",PEPSI!X5:X24,"UVa")</f>
        <v>0.53500000000000003</v>
      </c>
      <c r="P21" s="123">
        <f>SUM(L21:O21)</f>
        <v>0.53500000000000003</v>
      </c>
    </row>
    <row r="22" spans="11:16" x14ac:dyDescent="0.2">
      <c r="K22" s="127"/>
      <c r="L22" s="35"/>
      <c r="M22" s="35"/>
      <c r="N22" s="35"/>
      <c r="O22" s="35"/>
      <c r="P22" s="123"/>
    </row>
    <row r="23" spans="11:16" x14ac:dyDescent="0.2">
      <c r="K23" s="128" t="s">
        <v>146</v>
      </c>
      <c r="L23" s="134">
        <f>SUM(L18:L21)</f>
        <v>1.7</v>
      </c>
      <c r="M23" s="134">
        <f>SUM(M18:M21)</f>
        <v>0</v>
      </c>
      <c r="N23" s="134">
        <f>SUM(N18:N21)</f>
        <v>0</v>
      </c>
      <c r="O23" s="134">
        <f>SUM(O18:O21)</f>
        <v>0.53500000000000003</v>
      </c>
      <c r="P23" s="123">
        <f>SUM(P18:P21)</f>
        <v>2.2349999999999999</v>
      </c>
    </row>
    <row r="24" spans="11:16" x14ac:dyDescent="0.2">
      <c r="K24" s="107"/>
      <c r="L24" s="35"/>
      <c r="M24" s="35"/>
      <c r="N24" s="35"/>
      <c r="O24" s="16"/>
      <c r="P24" s="118"/>
    </row>
    <row r="25" spans="11:16" x14ac:dyDescent="0.2">
      <c r="K25" s="129" t="s">
        <v>134</v>
      </c>
      <c r="L25" s="139">
        <v>8.4</v>
      </c>
      <c r="M25" s="139">
        <v>-3.6</v>
      </c>
      <c r="N25" s="139">
        <v>-4.8</v>
      </c>
      <c r="O25" s="139">
        <v>0</v>
      </c>
      <c r="P25" s="123">
        <f>SUM(L25:O25)</f>
        <v>8.8817841970012523E-16</v>
      </c>
    </row>
    <row r="26" spans="11:16" x14ac:dyDescent="0.2">
      <c r="K26" s="129" t="s">
        <v>135</v>
      </c>
      <c r="L26" s="139"/>
      <c r="M26" s="139"/>
      <c r="N26" s="139"/>
      <c r="O26" s="139"/>
      <c r="P26" s="123">
        <f>SUM(L26:O26)</f>
        <v>0</v>
      </c>
    </row>
    <row r="27" spans="11:16" ht="17" thickBot="1" x14ac:dyDescent="0.25">
      <c r="K27" s="133" t="s">
        <v>136</v>
      </c>
      <c r="L27" s="111"/>
      <c r="M27" s="111"/>
      <c r="N27" s="111"/>
      <c r="O27" s="111"/>
      <c r="P27" s="132" t="e">
        <f>P23/P26</f>
        <v>#DIV/0!</v>
      </c>
    </row>
    <row r="28" spans="11:16" ht="17" thickBot="1" x14ac:dyDescent="0.25"/>
    <row r="29" spans="11:16" x14ac:dyDescent="0.2">
      <c r="K29" s="135" t="s">
        <v>137</v>
      </c>
      <c r="L29" s="136">
        <v>5</v>
      </c>
      <c r="M29" s="137" t="s">
        <v>140</v>
      </c>
    </row>
    <row r="30" spans="11:16" x14ac:dyDescent="0.2">
      <c r="K30" s="138" t="s">
        <v>138</v>
      </c>
      <c r="L30" s="65">
        <f>Calcs!B38 - Calcs!B34</f>
        <v>10.805547808430195</v>
      </c>
      <c r="M30" s="130">
        <f>L29*L30</f>
        <v>54.027739042150969</v>
      </c>
      <c r="N30" t="s">
        <v>122</v>
      </c>
    </row>
    <row r="31" spans="11:16" ht="17" thickBot="1" x14ac:dyDescent="0.25">
      <c r="K31" s="133" t="s">
        <v>139</v>
      </c>
      <c r="L31" s="115">
        <f>Calcs!B37 - Calcs!B35</f>
        <v>9.8546804796998835</v>
      </c>
      <c r="M31" s="131">
        <f>L29*L31</f>
        <v>49.273402398499414</v>
      </c>
      <c r="N31" t="s">
        <v>122</v>
      </c>
    </row>
  </sheetData>
  <mergeCells count="4">
    <mergeCell ref="N2:Q2"/>
    <mergeCell ref="K5:M5"/>
    <mergeCell ref="L16:O16"/>
    <mergeCell ref="L14:O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287D5-9660-FA4C-A47B-C6DC52704A59}">
  <dimension ref="B5:F99"/>
  <sheetViews>
    <sheetView topLeftCell="A50" zoomScale="125" zoomScaleNormal="90" workbookViewId="0">
      <selection activeCell="E62" sqref="E62"/>
    </sheetView>
  </sheetViews>
  <sheetFormatPr baseColWidth="10" defaultRowHeight="16" x14ac:dyDescent="0.2"/>
  <cols>
    <col min="1" max="1" width="5.83203125" customWidth="1"/>
    <col min="2" max="2" width="8" customWidth="1"/>
    <col min="3" max="3" width="20.83203125" customWidth="1"/>
    <col min="4" max="4" width="6.6640625" customWidth="1"/>
    <col min="5" max="5" width="7" customWidth="1"/>
    <col min="6" max="6" width="72" customWidth="1"/>
  </cols>
  <sheetData>
    <row r="5" spans="2:6" ht="17" thickBot="1" x14ac:dyDescent="0.25"/>
    <row r="6" spans="2:6" ht="17" thickBot="1" x14ac:dyDescent="0.25">
      <c r="B6" s="94" t="s">
        <v>31</v>
      </c>
    </row>
    <row r="7" spans="2:6" x14ac:dyDescent="0.2">
      <c r="B7" s="202" t="s">
        <v>17</v>
      </c>
      <c r="C7" s="200" t="s">
        <v>211</v>
      </c>
      <c r="D7" s="70" t="s">
        <v>111</v>
      </c>
      <c r="E7" s="70" t="s">
        <v>119</v>
      </c>
      <c r="F7" s="71" t="s">
        <v>212</v>
      </c>
    </row>
    <row r="8" spans="2:6" x14ac:dyDescent="0.2">
      <c r="B8" s="6">
        <f>MODS!V5</f>
        <v>1</v>
      </c>
      <c r="C8" s="17" t="str">
        <f>IF(MODS!W5="","",MODS!W5)</f>
        <v>XMD Mrk59</v>
      </c>
      <c r="D8" s="17" t="str">
        <f>IF(MODS!X5="","",MODS!X5)</f>
        <v>OSU</v>
      </c>
      <c r="E8" s="17">
        <f>IF(MODS!Y5="","",MODS!Y5)</f>
        <v>2</v>
      </c>
      <c r="F8" s="203" t="s">
        <v>238</v>
      </c>
    </row>
    <row r="9" spans="2:6" x14ac:dyDescent="0.2">
      <c r="B9" s="6">
        <f>MODS!V6</f>
        <v>2</v>
      </c>
      <c r="C9" s="17" t="str">
        <f>IF(MODS!W6="","",MODS!W6)</f>
        <v>SBS1135</v>
      </c>
      <c r="D9" s="17" t="str">
        <f>IF(MODS!X6="","",MODS!X6)</f>
        <v>UM</v>
      </c>
      <c r="E9" s="17">
        <f>IF(MODS!Y6="","",MODS!Y6)</f>
        <v>1</v>
      </c>
      <c r="F9" s="203" t="s">
        <v>245</v>
      </c>
    </row>
    <row r="10" spans="2:6" x14ac:dyDescent="0.2">
      <c r="B10" s="6">
        <f>MODS!V7</f>
        <v>3</v>
      </c>
      <c r="C10" s="17" t="str">
        <f>IF(MODS!W7="","",MODS!W7)</f>
        <v>SBS1437</v>
      </c>
      <c r="D10" s="17" t="str">
        <f>IF(MODS!X7="","",MODS!X7)</f>
        <v>OSU</v>
      </c>
      <c r="E10" s="17">
        <f>IF(MODS!Y7="","",MODS!Y7)</f>
        <v>2</v>
      </c>
      <c r="F10" s="203" t="s">
        <v>246</v>
      </c>
    </row>
    <row r="11" spans="2:6" x14ac:dyDescent="0.2">
      <c r="B11" s="6">
        <f>MODS!V8</f>
        <v>4</v>
      </c>
      <c r="C11" s="17" t="str">
        <f>IF(MODS!W8="","",MODS!W8)</f>
        <v/>
      </c>
      <c r="D11" s="17" t="str">
        <f>IF(MODS!X8="","",MODS!X8)</f>
        <v/>
      </c>
      <c r="E11" s="17" t="str">
        <f>IF(MODS!Y8="","",MODS!Y8)</f>
        <v/>
      </c>
      <c r="F11" s="203"/>
    </row>
    <row r="12" spans="2:6" x14ac:dyDescent="0.2">
      <c r="B12" s="6">
        <f>MODS!V9</f>
        <v>5</v>
      </c>
      <c r="C12" s="17" t="str">
        <f>IF(MODS!W9="","",MODS!W9)</f>
        <v>SDSS1411</v>
      </c>
      <c r="D12" s="17" t="str">
        <f>IF(MODS!X9="","",MODS!X9)</f>
        <v>UVa</v>
      </c>
      <c r="E12" s="17">
        <f>IF(MODS!Y9="","",MODS!Y9)</f>
        <v>1</v>
      </c>
      <c r="F12" s="203"/>
    </row>
    <row r="13" spans="2:6" x14ac:dyDescent="0.2">
      <c r="B13" s="6">
        <f>MODS!V10</f>
        <v>6</v>
      </c>
      <c r="C13" s="17" t="str">
        <f>IF(MODS!W10="","",MODS!W10)</f>
        <v>gd153</v>
      </c>
      <c r="D13" s="17" t="str">
        <f>IF(MODS!X10="","",MODS!X10)</f>
        <v>Cal</v>
      </c>
      <c r="E13" s="17">
        <f>IF(MODS!Y10="","",MODS!Y10)</f>
        <v>1</v>
      </c>
      <c r="F13" s="203"/>
    </row>
    <row r="14" spans="2:6" x14ac:dyDescent="0.2">
      <c r="B14" s="6">
        <f>MODS!V11</f>
        <v>7</v>
      </c>
      <c r="C14" s="17" t="str">
        <f>IF(MODS!W11="","",MODS!W11)</f>
        <v>SCAT-2024pjl</v>
      </c>
      <c r="D14" s="17" t="str">
        <f>IF(MODS!X11="","",MODS!X11)</f>
        <v>OSU</v>
      </c>
      <c r="E14" s="17">
        <f>IF(MODS!Y11="","",MODS!Y11)</f>
        <v>1</v>
      </c>
      <c r="F14" s="203"/>
    </row>
    <row r="15" spans="2:6" x14ac:dyDescent="0.2">
      <c r="B15" s="6">
        <f>MODS!V12</f>
        <v>8</v>
      </c>
      <c r="C15" s="17" t="str">
        <f>IF(MODS!W12="","",MODS!W12)</f>
        <v>SCAT-2024inv</v>
      </c>
      <c r="D15" s="17" t="str">
        <f>IF(MODS!X12="","",MODS!X12)</f>
        <v>OSU</v>
      </c>
      <c r="E15" s="17">
        <f>IF(MODS!Y12="","",MODS!Y12)</f>
        <v>2</v>
      </c>
      <c r="F15" s="203"/>
    </row>
    <row r="16" spans="2:6" x14ac:dyDescent="0.2">
      <c r="B16" s="6">
        <f>MODS!V13</f>
        <v>9</v>
      </c>
      <c r="C16" s="17" t="str">
        <f>IF(MODS!W13="","",MODS!W13)</f>
        <v>g191b2b</v>
      </c>
      <c r="D16" s="17" t="str">
        <f>IF(MODS!X13="","",MODS!X13)</f>
        <v>Cal</v>
      </c>
      <c r="E16" s="17">
        <f>IF(MODS!Y13="","",MODS!Y13)</f>
        <v>1</v>
      </c>
      <c r="F16" s="203"/>
    </row>
    <row r="17" spans="2:6" x14ac:dyDescent="0.2">
      <c r="B17" s="6">
        <f>MODS!V14</f>
        <v>10</v>
      </c>
      <c r="C17" s="17" t="str">
        <f>IF(MODS!W14="","",MODS!W14)</f>
        <v>U4115-dw2</v>
      </c>
      <c r="D17" s="17" t="str">
        <f>IF(MODS!X14="","",MODS!X14)</f>
        <v>OSU</v>
      </c>
      <c r="E17" s="17">
        <f>IF(MODS!Y14="","",MODS!Y14)</f>
        <v>2</v>
      </c>
      <c r="F17" s="203"/>
    </row>
    <row r="18" spans="2:6" x14ac:dyDescent="0.2">
      <c r="B18" s="6">
        <f>MODS!V15</f>
        <v>11</v>
      </c>
      <c r="C18" s="17" t="str">
        <f>IF(MODS!W15="","",MODS!W15)</f>
        <v>U4115-dw1</v>
      </c>
      <c r="D18" s="17" t="str">
        <f>IF(MODS!X15="","",MODS!X15)</f>
        <v>OSU</v>
      </c>
      <c r="E18" s="17">
        <f>IF(MODS!Y15="","",MODS!Y15)</f>
        <v>1</v>
      </c>
      <c r="F18" s="203"/>
    </row>
    <row r="19" spans="2:6" x14ac:dyDescent="0.2">
      <c r="B19" s="6">
        <f>MODS!V16</f>
        <v>12</v>
      </c>
      <c r="C19" s="17" t="str">
        <f>IF(MODS!W16="","",MODS!W16)</f>
        <v>U4426-dw1</v>
      </c>
      <c r="D19" s="17" t="str">
        <f>IF(MODS!X16="","",MODS!X16)</f>
        <v>OSU</v>
      </c>
      <c r="E19" s="17">
        <f>IF(MODS!Y16="","",MODS!Y16)</f>
        <v>1</v>
      </c>
      <c r="F19" s="203"/>
    </row>
    <row r="20" spans="2:6" x14ac:dyDescent="0.2">
      <c r="B20" s="6">
        <f>MODS!V17</f>
        <v>13</v>
      </c>
      <c r="C20" s="17" t="str">
        <f>IF(MODS!W17="","",MODS!W17)</f>
        <v>N3738-dw7</v>
      </c>
      <c r="D20" s="17" t="str">
        <f>IF(MODS!X17="","",MODS!X17)</f>
        <v>OSU</v>
      </c>
      <c r="E20" s="17">
        <f>IF(MODS!Y17="","",MODS!Y17)</f>
        <v>3</v>
      </c>
      <c r="F20" s="203"/>
    </row>
    <row r="21" spans="2:6" x14ac:dyDescent="0.2">
      <c r="B21" s="6">
        <f>MODS!V18</f>
        <v>14</v>
      </c>
      <c r="C21" s="17" t="str">
        <f>IF(MODS!W18="","",MODS!W18)</f>
        <v>N3738-dw10</v>
      </c>
      <c r="D21" s="17" t="str">
        <f>IF(MODS!X18="","",MODS!X18)</f>
        <v>OSU</v>
      </c>
      <c r="E21" s="17">
        <f>IF(MODS!Y18="","",MODS!Y18)</f>
        <v>2</v>
      </c>
      <c r="F21" s="203"/>
    </row>
    <row r="22" spans="2:6" x14ac:dyDescent="0.2">
      <c r="B22" s="6">
        <f>MODS!V19</f>
        <v>15</v>
      </c>
      <c r="C22" s="17" t="str">
        <f>IF(MODS!W19="","",MODS!W19)</f>
        <v>N4236-dw13</v>
      </c>
      <c r="D22" s="17" t="str">
        <f>IF(MODS!X19="","",MODS!X19)</f>
        <v>OSU</v>
      </c>
      <c r="E22" s="17">
        <f>IF(MODS!Y19="","",MODS!Y19)</f>
        <v>1</v>
      </c>
      <c r="F22" s="203"/>
    </row>
    <row r="23" spans="2:6" x14ac:dyDescent="0.2">
      <c r="B23" s="6">
        <f>MODS!V20</f>
        <v>16</v>
      </c>
      <c r="C23" s="17" t="s">
        <v>239</v>
      </c>
      <c r="D23" s="17" t="s">
        <v>244</v>
      </c>
      <c r="E23" s="17">
        <f>IF(MODS!Y20="","",MODS!Y20)</f>
        <v>1</v>
      </c>
      <c r="F23" s="203" t="s">
        <v>257</v>
      </c>
    </row>
    <row r="24" spans="2:6" x14ac:dyDescent="0.2">
      <c r="B24" s="6">
        <f>MODS!V21</f>
        <v>17</v>
      </c>
      <c r="C24" s="17" t="s">
        <v>240</v>
      </c>
      <c r="D24" s="17" t="s">
        <v>244</v>
      </c>
      <c r="E24" s="17">
        <f>IF(MODS!Y21="","",MODS!Y21)</f>
        <v>3</v>
      </c>
      <c r="F24" s="203"/>
    </row>
    <row r="25" spans="2:6" x14ac:dyDescent="0.2">
      <c r="B25" s="6">
        <f>MODS!V22</f>
        <v>18</v>
      </c>
      <c r="C25" s="1" t="s">
        <v>243</v>
      </c>
      <c r="D25" s="17" t="s">
        <v>244</v>
      </c>
      <c r="E25" s="17">
        <f>IF(MODS!Y22="","",MODS!Y22)</f>
        <v>3</v>
      </c>
      <c r="F25" s="203"/>
    </row>
    <row r="26" spans="2:6" x14ac:dyDescent="0.2">
      <c r="B26" s="6">
        <f>MODS!V23</f>
        <v>19</v>
      </c>
      <c r="C26" s="17" t="s">
        <v>241</v>
      </c>
      <c r="D26" s="17" t="s">
        <v>244</v>
      </c>
      <c r="E26" s="17">
        <f>IF(MODS!Y23="","",MODS!Y23)</f>
        <v>2</v>
      </c>
      <c r="F26" s="203"/>
    </row>
    <row r="27" spans="2:6" ht="17" thickBot="1" x14ac:dyDescent="0.25">
      <c r="B27" s="8">
        <f>MODS!V24</f>
        <v>20</v>
      </c>
      <c r="C27" s="201" t="s">
        <v>242</v>
      </c>
      <c r="D27" s="201" t="s">
        <v>244</v>
      </c>
      <c r="E27" s="201">
        <f>IF(MODS!Y24="","",MODS!Y24)</f>
        <v>2</v>
      </c>
      <c r="F27" s="204"/>
    </row>
    <row r="29" spans="2:6" ht="17" thickBot="1" x14ac:dyDescent="0.25"/>
    <row r="30" spans="2:6" ht="17" thickBot="1" x14ac:dyDescent="0.25">
      <c r="B30" s="97" t="s">
        <v>44</v>
      </c>
    </row>
    <row r="31" spans="2:6" x14ac:dyDescent="0.2">
      <c r="B31" s="205" t="s">
        <v>17</v>
      </c>
      <c r="C31" s="200" t="s">
        <v>211</v>
      </c>
      <c r="D31" s="70" t="s">
        <v>111</v>
      </c>
      <c r="E31" s="70" t="s">
        <v>119</v>
      </c>
      <c r="F31" s="71" t="s">
        <v>212</v>
      </c>
    </row>
    <row r="32" spans="2:6" x14ac:dyDescent="0.2">
      <c r="B32" s="6">
        <f>LUCI!V5</f>
        <v>1</v>
      </c>
      <c r="C32" s="17" t="str">
        <f>IF(LUCI!W5="","",LUCI!W5)</f>
        <v>J2229</v>
      </c>
      <c r="D32" s="17" t="str">
        <f>IF(LUCI!X5="","",LUCI!X5)</f>
        <v>UVa</v>
      </c>
      <c r="E32" s="17">
        <f>IF(LUCI!Y5="","",LUCI!Y5)</f>
        <v>1</v>
      </c>
      <c r="F32" s="203" t="s">
        <v>234</v>
      </c>
    </row>
    <row r="33" spans="2:6" x14ac:dyDescent="0.2">
      <c r="B33" s="6">
        <f>LUCI!V6</f>
        <v>2</v>
      </c>
      <c r="C33" s="17" t="str">
        <f>IF(LUCI!W6="","",LUCI!W6)</f>
        <v/>
      </c>
      <c r="D33" s="17" t="str">
        <f>IF(LUCI!X6="","",LUCI!X6)</f>
        <v/>
      </c>
      <c r="E33" s="17" t="str">
        <f>IF(LUCI!Y6="","",LUCI!Y6)</f>
        <v/>
      </c>
      <c r="F33" s="203"/>
    </row>
    <row r="34" spans="2:6" x14ac:dyDescent="0.2">
      <c r="B34" s="6">
        <f>LUCI!V7</f>
        <v>3</v>
      </c>
      <c r="C34" s="17" t="str">
        <f>IF(LUCI!W7="","",LUCI!W7)</f>
        <v>J0042</v>
      </c>
      <c r="D34" s="17" t="str">
        <f>IF(LUCI!X7="","",LUCI!X7)</f>
        <v>OSU</v>
      </c>
      <c r="E34" s="17">
        <f>IF(LUCI!Y7="","",LUCI!Y7)</f>
        <v>2</v>
      </c>
      <c r="F34" s="203"/>
    </row>
    <row r="35" spans="2:6" x14ac:dyDescent="0.2">
      <c r="B35" s="6">
        <f>LUCI!V8</f>
        <v>4</v>
      </c>
      <c r="C35" s="17" t="str">
        <f>IF(LUCI!W8="","",LUCI!W8)</f>
        <v>J0158</v>
      </c>
      <c r="D35" s="17" t="str">
        <f>IF(LUCI!X8="","",LUCI!X8)</f>
        <v>OSU</v>
      </c>
      <c r="E35" s="17">
        <f>IF(LUCI!Y8="","",LUCI!Y8)</f>
        <v>2</v>
      </c>
      <c r="F35" s="203"/>
    </row>
    <row r="36" spans="2:6" x14ac:dyDescent="0.2">
      <c r="B36" s="6">
        <f>LUCI!V9</f>
        <v>5</v>
      </c>
      <c r="C36" s="17" t="str">
        <f>IF(LUCI!W9="","",LUCI!W9)</f>
        <v>J0224</v>
      </c>
      <c r="D36" s="17" t="str">
        <f>IF(LUCI!X9="","",LUCI!X9)</f>
        <v>OSU</v>
      </c>
      <c r="E36" s="17">
        <f>IF(LUCI!Y9="","",LUCI!Y9)</f>
        <v>2</v>
      </c>
      <c r="F36" s="203"/>
    </row>
    <row r="37" spans="2:6" x14ac:dyDescent="0.2">
      <c r="B37" s="6">
        <f>LUCI!V10</f>
        <v>6</v>
      </c>
      <c r="C37" s="17" t="str">
        <f>IF(LUCI!W10="","",LUCI!W10)</f>
        <v>J2031</v>
      </c>
      <c r="D37" s="17" t="str">
        <f>IF(LUCI!X10="","",LUCI!X10)</f>
        <v>OSU</v>
      </c>
      <c r="E37" s="17">
        <f>IF(LUCI!Y10="","",LUCI!Y10)</f>
        <v>2</v>
      </c>
      <c r="F37" s="203"/>
    </row>
    <row r="38" spans="2:6" x14ac:dyDescent="0.2">
      <c r="B38" s="6">
        <f>LUCI!V11</f>
        <v>7</v>
      </c>
      <c r="C38" s="17" t="str">
        <f>IF(LUCI!W11="","",LUCI!W11)</f>
        <v/>
      </c>
      <c r="D38" s="17" t="str">
        <f>IF(LUCI!X11="","",LUCI!X11)</f>
        <v/>
      </c>
      <c r="E38" s="17" t="str">
        <f>IF(LUCI!Y11="","",LUCI!Y11)</f>
        <v/>
      </c>
      <c r="F38" s="203"/>
    </row>
    <row r="39" spans="2:6" x14ac:dyDescent="0.2">
      <c r="B39" s="6">
        <f>LUCI!V12</f>
        <v>8</v>
      </c>
      <c r="C39" s="17" t="str">
        <f>IF(LUCI!W12="","",LUCI!W12)</f>
        <v>Uranus</v>
      </c>
      <c r="D39" s="17" t="str">
        <f>IF(LUCI!X12="","",LUCI!X12)</f>
        <v>UVa</v>
      </c>
      <c r="E39" s="17">
        <f>IF(LUCI!Y12="","",LUCI!Y12)</f>
        <v>1</v>
      </c>
      <c r="F39" s="203"/>
    </row>
    <row r="40" spans="2:6" x14ac:dyDescent="0.2">
      <c r="B40" s="6">
        <f>LUCI!V13</f>
        <v>9</v>
      </c>
      <c r="C40" s="17" t="str">
        <f>IF(LUCI!W13="","",LUCI!W13)</f>
        <v/>
      </c>
      <c r="D40" s="17" t="str">
        <f>IF(LUCI!X13="","",LUCI!X13)</f>
        <v/>
      </c>
      <c r="E40" s="17" t="str">
        <f>IF(LUCI!Y13="","",LUCI!Y13)</f>
        <v/>
      </c>
      <c r="F40" s="203"/>
    </row>
    <row r="41" spans="2:6" x14ac:dyDescent="0.2">
      <c r="B41" s="6">
        <f>LUCI!V14</f>
        <v>10</v>
      </c>
      <c r="C41" s="17" t="str">
        <f>IF(LUCI!W14="","",LUCI!W14)</f>
        <v/>
      </c>
      <c r="D41" s="17" t="str">
        <f>IF(LUCI!X14="","",LUCI!X14)</f>
        <v/>
      </c>
      <c r="E41" s="17" t="str">
        <f>IF(LUCI!Y14="","",LUCI!Y14)</f>
        <v/>
      </c>
      <c r="F41" s="203"/>
    </row>
    <row r="42" spans="2:6" x14ac:dyDescent="0.2">
      <c r="B42" s="6">
        <f>LUCI!V15</f>
        <v>11</v>
      </c>
      <c r="C42" s="17" t="str">
        <f>IF(LUCI!W15="","",LUCI!W15)</f>
        <v/>
      </c>
      <c r="D42" s="17" t="str">
        <f>IF(LUCI!X15="","",LUCI!X15)</f>
        <v/>
      </c>
      <c r="E42" s="17" t="str">
        <f>IF(LUCI!Y15="","",LUCI!Y15)</f>
        <v/>
      </c>
      <c r="F42" s="203"/>
    </row>
    <row r="43" spans="2:6" x14ac:dyDescent="0.2">
      <c r="B43" s="6">
        <f>LUCI!V16</f>
        <v>12</v>
      </c>
      <c r="C43" s="17" t="str">
        <f>IF(LUCI!W16="","",LUCI!W16)</f>
        <v/>
      </c>
      <c r="D43" s="17" t="str">
        <f>IF(LUCI!X16="","",LUCI!X16)</f>
        <v/>
      </c>
      <c r="E43" s="17" t="str">
        <f>IF(LUCI!Y16="","",LUCI!Y16)</f>
        <v/>
      </c>
      <c r="F43" s="203"/>
    </row>
    <row r="44" spans="2:6" x14ac:dyDescent="0.2">
      <c r="B44" s="6">
        <f>LUCI!V17</f>
        <v>13</v>
      </c>
      <c r="C44" s="17" t="str">
        <f>IF(LUCI!W17="","",LUCI!W17)</f>
        <v/>
      </c>
      <c r="D44" s="17" t="str">
        <f>IF(LUCI!X17="","",LUCI!X17)</f>
        <v/>
      </c>
      <c r="E44" s="17" t="str">
        <f>IF(LUCI!Y17="","",LUCI!Y17)</f>
        <v/>
      </c>
      <c r="F44" s="203"/>
    </row>
    <row r="45" spans="2:6" x14ac:dyDescent="0.2">
      <c r="B45" s="6">
        <f>LUCI!V18</f>
        <v>14</v>
      </c>
      <c r="C45" s="17" t="str">
        <f>IF(LUCI!W18="","",LUCI!W18)</f>
        <v/>
      </c>
      <c r="D45" s="17" t="str">
        <f>IF(LUCI!X18="","",LUCI!X18)</f>
        <v/>
      </c>
      <c r="E45" s="17" t="str">
        <f>IF(LUCI!Y18="","",LUCI!Y18)</f>
        <v/>
      </c>
      <c r="F45" s="203"/>
    </row>
    <row r="46" spans="2:6" x14ac:dyDescent="0.2">
      <c r="B46" s="6">
        <f>LUCI!V19</f>
        <v>15</v>
      </c>
      <c r="C46" s="17" t="str">
        <f>IF(LUCI!W19="","",LUCI!W19)</f>
        <v/>
      </c>
      <c r="D46" s="17" t="str">
        <f>IF(LUCI!X19="","",LUCI!X19)</f>
        <v/>
      </c>
      <c r="E46" s="17" t="str">
        <f>IF(LUCI!Y19="","",LUCI!Y19)</f>
        <v/>
      </c>
      <c r="F46" s="203"/>
    </row>
    <row r="47" spans="2:6" x14ac:dyDescent="0.2">
      <c r="B47" s="6">
        <f>LUCI!V20</f>
        <v>16</v>
      </c>
      <c r="C47" s="17" t="str">
        <f>IF(LUCI!W20="","",LUCI!W20)</f>
        <v/>
      </c>
      <c r="D47" s="17" t="str">
        <f>IF(LUCI!X20="","",LUCI!X20)</f>
        <v/>
      </c>
      <c r="E47" s="17" t="str">
        <f>IF(LUCI!Y20="","",LUCI!Y20)</f>
        <v/>
      </c>
      <c r="F47" s="203"/>
    </row>
    <row r="48" spans="2:6" x14ac:dyDescent="0.2">
      <c r="B48" s="6">
        <f>LUCI!V21</f>
        <v>17</v>
      </c>
      <c r="C48" s="17" t="str">
        <f>IF(LUCI!W21="","",LUCI!W21)</f>
        <v/>
      </c>
      <c r="D48" s="17" t="str">
        <f>IF(LUCI!X21="","",LUCI!X21)</f>
        <v/>
      </c>
      <c r="E48" s="17" t="str">
        <f>IF(LUCI!Y21="","",LUCI!Y21)</f>
        <v/>
      </c>
      <c r="F48" s="203"/>
    </row>
    <row r="49" spans="2:6" x14ac:dyDescent="0.2">
      <c r="B49" s="6">
        <f>LUCI!V22</f>
        <v>18</v>
      </c>
      <c r="C49" s="17" t="str">
        <f>IF(LUCI!W22="","",LUCI!W22)</f>
        <v/>
      </c>
      <c r="D49" s="17" t="str">
        <f>IF(LUCI!X22="","",LUCI!X22)</f>
        <v/>
      </c>
      <c r="E49" s="17" t="str">
        <f>IF(LUCI!Y22="","",LUCI!Y22)</f>
        <v/>
      </c>
      <c r="F49" s="203"/>
    </row>
    <row r="50" spans="2:6" x14ac:dyDescent="0.2">
      <c r="B50" s="6">
        <f>LUCI!V23</f>
        <v>19</v>
      </c>
      <c r="C50" s="17" t="str">
        <f>IF(LUCI!W23="","",LUCI!W23)</f>
        <v/>
      </c>
      <c r="D50" s="17" t="str">
        <f>IF(LUCI!X23="","",LUCI!X23)</f>
        <v/>
      </c>
      <c r="E50" s="17" t="str">
        <f>IF(LUCI!Y23="","",LUCI!Y23)</f>
        <v/>
      </c>
      <c r="F50" s="203"/>
    </row>
    <row r="51" spans="2:6" ht="17" thickBot="1" x14ac:dyDescent="0.25">
      <c r="B51" s="8">
        <f>LUCI!V24</f>
        <v>20</v>
      </c>
      <c r="C51" s="201" t="str">
        <f>IF(LUCI!W24="","",LUCI!W24)</f>
        <v/>
      </c>
      <c r="D51" s="201" t="str">
        <f>IF(LUCI!X24="","",LUCI!X24)</f>
        <v/>
      </c>
      <c r="E51" s="201" t="str">
        <f>IF(LUCI!Y24="","",LUCI!Y24)</f>
        <v/>
      </c>
      <c r="F51" s="204"/>
    </row>
    <row r="53" spans="2:6" ht="17" thickBot="1" x14ac:dyDescent="0.25"/>
    <row r="54" spans="2:6" ht="17" thickBot="1" x14ac:dyDescent="0.25">
      <c r="B54" s="98" t="s">
        <v>45</v>
      </c>
    </row>
    <row r="55" spans="2:6" x14ac:dyDescent="0.2">
      <c r="B55" s="205" t="s">
        <v>17</v>
      </c>
      <c r="C55" s="200" t="s">
        <v>211</v>
      </c>
      <c r="D55" s="70" t="s">
        <v>111</v>
      </c>
      <c r="E55" s="70" t="s">
        <v>119</v>
      </c>
      <c r="F55" s="71" t="s">
        <v>212</v>
      </c>
    </row>
    <row r="56" spans="2:6" x14ac:dyDescent="0.2">
      <c r="B56" s="6">
        <f>LBC!V5</f>
        <v>1</v>
      </c>
      <c r="C56" s="17" t="str">
        <f>IF(LBC!W5="","",LBC!W5)</f>
        <v>N5474</v>
      </c>
      <c r="D56" s="17" t="str">
        <f>IF(LBC!X5="","",LBC!X5)</f>
        <v>OSU</v>
      </c>
      <c r="E56" s="17">
        <f>IF(LBC!Y5="","",LBC!Y5)</f>
        <v>1</v>
      </c>
      <c r="F56" s="203"/>
    </row>
    <row r="57" spans="2:6" x14ac:dyDescent="0.2">
      <c r="B57" s="6">
        <f>LBC!V6</f>
        <v>2</v>
      </c>
      <c r="C57" s="17" t="str">
        <f>IF(LBC!W6="","",LBC!W6)</f>
        <v>N4826</v>
      </c>
      <c r="D57" s="17" t="str">
        <f>IF(LBC!X6="","",LBC!X6)</f>
        <v>OSU</v>
      </c>
      <c r="E57" s="17">
        <f>IF(LBC!Y6="","",LBC!Y6)</f>
        <v>1</v>
      </c>
      <c r="F57" s="203"/>
    </row>
    <row r="58" spans="2:6" x14ac:dyDescent="0.2">
      <c r="B58" s="6">
        <f>LBC!V7</f>
        <v>3</v>
      </c>
      <c r="C58" s="17" t="str">
        <f>IF(LBC!W7="","",LBC!W7)</f>
        <v>N4236</v>
      </c>
      <c r="D58" s="17" t="str">
        <f>IF(LBC!X7="","",LBC!X7)</f>
        <v>OSU</v>
      </c>
      <c r="E58" s="17">
        <f>IF(LBC!Y7="","",LBC!Y7)</f>
        <v>1</v>
      </c>
      <c r="F58" s="203"/>
    </row>
    <row r="59" spans="2:6" x14ac:dyDescent="0.2">
      <c r="B59" s="6">
        <f>LBC!V8</f>
        <v>4</v>
      </c>
      <c r="C59" s="17" t="str">
        <f>IF(LBC!W8="","",LBC!W8)</f>
        <v>N4449</v>
      </c>
      <c r="D59" s="17" t="str">
        <f>IF(LBC!X8="","",LBC!X8)</f>
        <v>OSU</v>
      </c>
      <c r="E59" s="17">
        <f>IF(LBC!Y8="","",LBC!Y8)</f>
        <v>2</v>
      </c>
      <c r="F59" s="203"/>
    </row>
    <row r="60" spans="2:6" x14ac:dyDescent="0.2">
      <c r="B60" s="6">
        <f>LBC!V9</f>
        <v>5</v>
      </c>
      <c r="C60" s="17" t="str">
        <f>IF(LBC!W9="","",LBC!W9)</f>
        <v>N4605</v>
      </c>
      <c r="D60" s="17" t="str">
        <f>IF(LBC!X9="","",LBC!X9)</f>
        <v>OSU</v>
      </c>
      <c r="E60" s="17">
        <f>IF(LBC!Y9="","",LBC!Y9)</f>
        <v>2</v>
      </c>
      <c r="F60" s="203"/>
    </row>
    <row r="61" spans="2:6" x14ac:dyDescent="0.2">
      <c r="B61" s="6">
        <f>LBC!V10</f>
        <v>6</v>
      </c>
      <c r="C61" s="17" t="str">
        <f>IF(LBC!W10="","",LBC!W10)</f>
        <v>SN95n</v>
      </c>
      <c r="D61" s="17" t="str">
        <f>IF(LBC!X10="","",LBC!X10)</f>
        <v>ND</v>
      </c>
      <c r="E61" s="17">
        <v>1</v>
      </c>
      <c r="F61" s="203" t="s">
        <v>297</v>
      </c>
    </row>
    <row r="62" spans="2:6" x14ac:dyDescent="0.2">
      <c r="B62" s="6">
        <f>LBC!V11</f>
        <v>7</v>
      </c>
      <c r="C62" s="17" t="str">
        <f>IF(LBC!W11="","",LBC!W11)</f>
        <v/>
      </c>
      <c r="D62" s="17" t="str">
        <f>IF(LBC!X11="","",LBC!X11)</f>
        <v/>
      </c>
      <c r="E62" s="17" t="str">
        <f>IF(LBC!Y11="","",LBC!Y11)</f>
        <v/>
      </c>
      <c r="F62" s="203"/>
    </row>
    <row r="63" spans="2:6" x14ac:dyDescent="0.2">
      <c r="B63" s="6">
        <f>LBC!V12</f>
        <v>8</v>
      </c>
      <c r="C63" s="17" t="str">
        <f>IF(LBC!W12="","",LBC!W12)</f>
        <v/>
      </c>
      <c r="D63" s="17" t="str">
        <f>IF(LBC!X12="","",LBC!X12)</f>
        <v/>
      </c>
      <c r="E63" s="17" t="str">
        <f>IF(LBC!Y12="","",LBC!Y12)</f>
        <v/>
      </c>
      <c r="F63" s="203"/>
    </row>
    <row r="64" spans="2:6" x14ac:dyDescent="0.2">
      <c r="B64" s="6">
        <f>LBC!V13</f>
        <v>9</v>
      </c>
      <c r="C64" s="17" t="str">
        <f>IF(LBC!W13="","",LBC!W13)</f>
        <v/>
      </c>
      <c r="D64" s="17" t="str">
        <f>IF(LBC!X13="","",LBC!X13)</f>
        <v/>
      </c>
      <c r="E64" s="17" t="str">
        <f>IF(LBC!Y13="","",LBC!Y13)</f>
        <v/>
      </c>
      <c r="F64" s="203"/>
    </row>
    <row r="65" spans="2:6" x14ac:dyDescent="0.2">
      <c r="B65" s="6">
        <f>LBC!V14</f>
        <v>10</v>
      </c>
      <c r="C65" s="17" t="str">
        <f>IF(LBC!W14="","",LBC!W14)</f>
        <v/>
      </c>
      <c r="D65" s="17" t="str">
        <f>IF(LBC!X14="","",LBC!X14)</f>
        <v/>
      </c>
      <c r="E65" s="17" t="str">
        <f>IF(LBC!Y14="","",LBC!Y14)</f>
        <v/>
      </c>
      <c r="F65" s="203"/>
    </row>
    <row r="66" spans="2:6" x14ac:dyDescent="0.2">
      <c r="B66" s="6">
        <f>LBC!V15</f>
        <v>11</v>
      </c>
      <c r="C66" s="17" t="str">
        <f>IF(LBC!W15="","",LBC!W15)</f>
        <v/>
      </c>
      <c r="D66" s="17" t="str">
        <f>IF(LBC!X15="","",LBC!X15)</f>
        <v/>
      </c>
      <c r="E66" s="17" t="str">
        <f>IF(LBC!Y15="","",LBC!Y15)</f>
        <v/>
      </c>
      <c r="F66" s="203"/>
    </row>
    <row r="67" spans="2:6" x14ac:dyDescent="0.2">
      <c r="B67" s="6">
        <f>LBC!V16</f>
        <v>12</v>
      </c>
      <c r="C67" s="17" t="str">
        <f>IF(LBC!W16="","",LBC!W16)</f>
        <v/>
      </c>
      <c r="D67" s="17" t="str">
        <f>IF(LBC!X16="","",LBC!X16)</f>
        <v/>
      </c>
      <c r="E67" s="17" t="str">
        <f>IF(LBC!Y16="","",LBC!Y16)</f>
        <v/>
      </c>
      <c r="F67" s="203"/>
    </row>
    <row r="68" spans="2:6" x14ac:dyDescent="0.2">
      <c r="B68" s="6">
        <f>LBC!V17</f>
        <v>13</v>
      </c>
      <c r="C68" s="17" t="str">
        <f>IF(LBC!W17="","",LBC!W17)</f>
        <v/>
      </c>
      <c r="D68" s="17" t="str">
        <f>IF(LBC!X17="","",LBC!X17)</f>
        <v/>
      </c>
      <c r="E68" s="17" t="str">
        <f>IF(LBC!Y17="","",LBC!Y17)</f>
        <v/>
      </c>
      <c r="F68" s="203"/>
    </row>
    <row r="69" spans="2:6" x14ac:dyDescent="0.2">
      <c r="B69" s="6">
        <f>LBC!V18</f>
        <v>14</v>
      </c>
      <c r="C69" s="17" t="str">
        <f>IF(LBC!W18="","",LBC!W18)</f>
        <v/>
      </c>
      <c r="D69" s="17" t="str">
        <f>IF(LBC!X18="","",LBC!X18)</f>
        <v/>
      </c>
      <c r="E69" s="17" t="str">
        <f>IF(LBC!Y18="","",LBC!Y18)</f>
        <v/>
      </c>
      <c r="F69" s="203"/>
    </row>
    <row r="70" spans="2:6" x14ac:dyDescent="0.2">
      <c r="B70" s="6">
        <f>LBC!V19</f>
        <v>15</v>
      </c>
      <c r="C70" s="17" t="str">
        <f>IF(LBC!W19="","",LBC!W19)</f>
        <v/>
      </c>
      <c r="D70" s="17" t="str">
        <f>IF(LBC!X19="","",LBC!X19)</f>
        <v/>
      </c>
      <c r="E70" s="17" t="str">
        <f>IF(LBC!Y19="","",LBC!Y19)</f>
        <v/>
      </c>
      <c r="F70" s="203"/>
    </row>
    <row r="71" spans="2:6" x14ac:dyDescent="0.2">
      <c r="B71" s="6">
        <f>LBC!V20</f>
        <v>16</v>
      </c>
      <c r="C71" s="17" t="str">
        <f>IF(LBC!W20="","",LBC!W20)</f>
        <v/>
      </c>
      <c r="D71" s="17" t="str">
        <f>IF(LBC!X20="","",LBC!X20)</f>
        <v/>
      </c>
      <c r="E71" s="17" t="str">
        <f>IF(LBC!Y20="","",LBC!Y20)</f>
        <v/>
      </c>
      <c r="F71" s="203"/>
    </row>
    <row r="72" spans="2:6" x14ac:dyDescent="0.2">
      <c r="B72" s="6">
        <f>LBC!V21</f>
        <v>17</v>
      </c>
      <c r="C72" s="17" t="str">
        <f>IF(LBC!W21="","",LBC!W21)</f>
        <v/>
      </c>
      <c r="D72" s="17" t="str">
        <f>IF(LBC!X21="","",LBC!X21)</f>
        <v/>
      </c>
      <c r="E72" s="17" t="str">
        <f>IF(LBC!Y21="","",LBC!Y21)</f>
        <v/>
      </c>
      <c r="F72" s="203"/>
    </row>
    <row r="73" spans="2:6" x14ac:dyDescent="0.2">
      <c r="B73" s="6">
        <f>LBC!V22</f>
        <v>18</v>
      </c>
      <c r="C73" s="17" t="str">
        <f>IF(LBC!W22="","",LBC!W22)</f>
        <v/>
      </c>
      <c r="D73" s="17" t="str">
        <f>IF(LBC!X22="","",LBC!X22)</f>
        <v/>
      </c>
      <c r="E73" s="17" t="str">
        <f>IF(LBC!Y22="","",LBC!Y22)</f>
        <v/>
      </c>
      <c r="F73" s="203"/>
    </row>
    <row r="74" spans="2:6" x14ac:dyDescent="0.2">
      <c r="B74" s="6">
        <f>LBC!V23</f>
        <v>19</v>
      </c>
      <c r="C74" s="17" t="str">
        <f>IF(LBC!W23="","",LBC!W23)</f>
        <v/>
      </c>
      <c r="D74" s="17" t="str">
        <f>IF(LBC!X23="","",LBC!X23)</f>
        <v/>
      </c>
      <c r="E74" s="17" t="str">
        <f>IF(LBC!Y23="","",LBC!Y23)</f>
        <v/>
      </c>
      <c r="F74" s="203"/>
    </row>
    <row r="75" spans="2:6" ht="17" thickBot="1" x14ac:dyDescent="0.25">
      <c r="B75" s="8">
        <f>LBC!V24</f>
        <v>20</v>
      </c>
      <c r="C75" s="201" t="str">
        <f>IF(LBC!W24="","",LBC!W24)</f>
        <v/>
      </c>
      <c r="D75" s="201" t="str">
        <f>IF(LBC!X24="","",LBC!X24)</f>
        <v/>
      </c>
      <c r="E75" s="201" t="str">
        <f>IF(LBC!Y24="","",LBC!Y24)</f>
        <v/>
      </c>
      <c r="F75" s="204"/>
    </row>
    <row r="77" spans="2:6" ht="17" thickBot="1" x14ac:dyDescent="0.25"/>
    <row r="78" spans="2:6" ht="17" thickBot="1" x14ac:dyDescent="0.25">
      <c r="B78" s="102" t="s">
        <v>65</v>
      </c>
    </row>
    <row r="79" spans="2:6" x14ac:dyDescent="0.2">
      <c r="B79" s="205" t="s">
        <v>17</v>
      </c>
      <c r="C79" s="200" t="s">
        <v>211</v>
      </c>
      <c r="D79" s="70" t="s">
        <v>111</v>
      </c>
      <c r="E79" s="70" t="s">
        <v>119</v>
      </c>
      <c r="F79" s="71" t="s">
        <v>212</v>
      </c>
    </row>
    <row r="80" spans="2:6" x14ac:dyDescent="0.2">
      <c r="B80" s="6">
        <f>PEPSI!V5</f>
        <v>1</v>
      </c>
      <c r="C80" s="17" t="str">
        <f>IF(PEPSI!W5="","",PEPSI!W5)</f>
        <v>PETS-1518</v>
      </c>
      <c r="D80" s="17" t="str">
        <f>IF(PEPSI!X5="","",PEPSI!X5)</f>
        <v>OSU</v>
      </c>
      <c r="E80" s="17">
        <v>1</v>
      </c>
      <c r="F80" s="203" t="s">
        <v>237</v>
      </c>
    </row>
    <row r="81" spans="2:6" x14ac:dyDescent="0.2">
      <c r="B81" s="6">
        <f>PEPSI!V6</f>
        <v>2</v>
      </c>
      <c r="C81" s="17" t="str">
        <f>IF(PEPSI!W5="","",PEPSI!W6)</f>
        <v>PETS-1431</v>
      </c>
      <c r="D81" s="17" t="str">
        <f>IF(PEPSI!X6="","",PEPSI!X6)</f>
        <v>OSU</v>
      </c>
      <c r="E81" s="17">
        <f>IF(PEPSI!Y6="","",PEPSI!Y6)</f>
        <v>1</v>
      </c>
      <c r="F81" s="203" t="s">
        <v>258</v>
      </c>
    </row>
    <row r="82" spans="2:6" x14ac:dyDescent="0.2">
      <c r="B82" s="6">
        <f>PEPSI!V7</f>
        <v>3</v>
      </c>
      <c r="C82" s="17" t="str">
        <f>IF(PEPSI!W7="","",PEPSI!W7)</f>
        <v>TIC3071</v>
      </c>
      <c r="D82" s="17" t="str">
        <f>IF(PEPSI!X7="","",PEPSI!X7)</f>
        <v>UVa</v>
      </c>
      <c r="E82" s="17">
        <f>IF(PEPSI!Y7="","",PEPSI!Y7)</f>
        <v>2</v>
      </c>
      <c r="F82" s="203"/>
    </row>
    <row r="83" spans="2:6" x14ac:dyDescent="0.2">
      <c r="B83" s="6">
        <f>PEPSI!V8</f>
        <v>4</v>
      </c>
      <c r="C83" s="17" t="str">
        <f>IF(PEPSI!W8="","",PEPSI!W8)</f>
        <v>TIC5285</v>
      </c>
      <c r="D83" s="17" t="str">
        <f>IF(PEPSI!X8="","",PEPSI!X8)</f>
        <v>UVa</v>
      </c>
      <c r="E83" s="17">
        <f>IF(PEPSI!Y8="","",PEPSI!Y8)</f>
        <v>2</v>
      </c>
      <c r="F83" s="203"/>
    </row>
    <row r="84" spans="2:6" x14ac:dyDescent="0.2">
      <c r="B84" s="6">
        <f>PEPSI!V9</f>
        <v>5</v>
      </c>
      <c r="C84" s="17" t="str">
        <f>IF(PEPSI!W9="","",PEPSI!W9)</f>
        <v>TIC3898</v>
      </c>
      <c r="D84" s="17" t="str">
        <f>IF(PEPSI!X9="","",PEPSI!X9)</f>
        <v>UVa</v>
      </c>
      <c r="E84" s="17">
        <f>IF(PEPSI!Y9="","",PEPSI!Y9)</f>
        <v>2</v>
      </c>
      <c r="F84" s="203"/>
    </row>
    <row r="85" spans="2:6" x14ac:dyDescent="0.2">
      <c r="B85" s="6">
        <f>PEPSI!V10</f>
        <v>6</v>
      </c>
      <c r="C85" s="17" t="str">
        <f>IF(PEPSI!W10="","",PEPSI!W10)</f>
        <v>TIC2864</v>
      </c>
      <c r="D85" s="17" t="str">
        <f>IF(PEPSI!X10="","",PEPSI!X10)</f>
        <v>UVa</v>
      </c>
      <c r="E85" s="17">
        <f>IF(PEPSI!Y10="","",PEPSI!Y10)</f>
        <v>2</v>
      </c>
      <c r="F85" s="203"/>
    </row>
    <row r="86" spans="2:6" x14ac:dyDescent="0.2">
      <c r="B86" s="6">
        <f>PEPSI!V11</f>
        <v>7</v>
      </c>
      <c r="C86" s="17" t="str">
        <f>IF(PEPSI!W11="","",PEPSI!W11)</f>
        <v>TIC3922</v>
      </c>
      <c r="D86" s="17" t="str">
        <f>IF(PEPSI!X11="","",PEPSI!X11)</f>
        <v>UVa</v>
      </c>
      <c r="E86" s="17">
        <f>IF(PEPSI!Y11="","",PEPSI!Y11)</f>
        <v>2</v>
      </c>
      <c r="F86" s="203"/>
    </row>
    <row r="87" spans="2:6" x14ac:dyDescent="0.2">
      <c r="B87" s="6">
        <f>PEPSI!V12</f>
        <v>8</v>
      </c>
      <c r="C87" s="17" t="str">
        <f>IF(PEPSI!W12="","",PEPSI!W12)</f>
        <v>TIC2600</v>
      </c>
      <c r="D87" s="17" t="str">
        <f>IF(PEPSI!X12="","",PEPSI!X12)</f>
        <v>UVa</v>
      </c>
      <c r="E87" s="17">
        <f>IF(PEPSI!Y12="","",PEPSI!Y12)</f>
        <v>2</v>
      </c>
      <c r="F87" s="203"/>
    </row>
    <row r="88" spans="2:6" x14ac:dyDescent="0.2">
      <c r="B88" s="6">
        <f>PEPSI!V13</f>
        <v>9</v>
      </c>
      <c r="C88" s="17" t="str">
        <f>IF(PEPSI!W13="","",PEPSI!W13)</f>
        <v>TIC4541</v>
      </c>
      <c r="D88" s="17" t="str">
        <f>IF(PEPSI!X13="","",PEPSI!X13)</f>
        <v>UVa</v>
      </c>
      <c r="E88" s="17">
        <f>IF(PEPSI!Y13="","",PEPSI!Y13)</f>
        <v>2</v>
      </c>
      <c r="F88" s="203"/>
    </row>
    <row r="89" spans="2:6" x14ac:dyDescent="0.2">
      <c r="B89" s="6">
        <f>PEPSI!V14</f>
        <v>10</v>
      </c>
      <c r="C89" s="17" t="str">
        <f>IF(PEPSI!W14="","",PEPSI!W14)</f>
        <v>TIC3674</v>
      </c>
      <c r="D89" s="17" t="str">
        <f>IF(PEPSI!X14="","",PEPSI!X14)</f>
        <v>UVa</v>
      </c>
      <c r="E89" s="17">
        <f>IF(PEPSI!Y14="","",PEPSI!Y14)</f>
        <v>1</v>
      </c>
      <c r="F89" s="203" t="s">
        <v>235</v>
      </c>
    </row>
    <row r="90" spans="2:6" x14ac:dyDescent="0.2">
      <c r="B90" s="6">
        <f>PEPSI!V15</f>
        <v>11</v>
      </c>
      <c r="C90" s="17" t="str">
        <f>IF(PEPSI!W15="","",PEPSI!W15)</f>
        <v>TIC3178</v>
      </c>
      <c r="D90" s="17" t="str">
        <f>IF(PEPSI!X15="","",PEPSI!X15)</f>
        <v>UVa</v>
      </c>
      <c r="E90" s="17">
        <f>IF(PEPSI!Y15="","",PEPSI!Y15)</f>
        <v>2</v>
      </c>
      <c r="F90" s="203"/>
    </row>
    <row r="91" spans="2:6" x14ac:dyDescent="0.2">
      <c r="B91" s="6">
        <f>PEPSI!V16</f>
        <v>12</v>
      </c>
      <c r="C91" s="17" t="str">
        <f>IF(PEPSI!W16="","",PEPSI!W16)</f>
        <v>TIC7329</v>
      </c>
      <c r="D91" s="17" t="str">
        <f>IF(PEPSI!X16="","",PEPSI!X16)</f>
        <v>UVa</v>
      </c>
      <c r="E91" s="17">
        <f>IF(PEPSI!Y16="","",PEPSI!Y16)</f>
        <v>2</v>
      </c>
      <c r="F91" s="203"/>
    </row>
    <row r="92" spans="2:6" x14ac:dyDescent="0.2">
      <c r="B92" s="6">
        <f>PEPSI!V17</f>
        <v>13</v>
      </c>
      <c r="C92" s="17" t="str">
        <f>IF(PEPSI!W17="","",PEPSI!W17)</f>
        <v>TIC4344</v>
      </c>
      <c r="D92" s="17" t="str">
        <f>IF(PEPSI!X17="","",PEPSI!X17)</f>
        <v>UVa</v>
      </c>
      <c r="E92" s="17">
        <f>IF(PEPSI!Y17="","",PEPSI!Y17)</f>
        <v>2</v>
      </c>
      <c r="F92" s="203"/>
    </row>
    <row r="93" spans="2:6" x14ac:dyDescent="0.2">
      <c r="B93" s="6">
        <f>PEPSI!V18</f>
        <v>14</v>
      </c>
      <c r="C93" s="17" t="str">
        <f>IF(PEPSI!W18="","",PEPSI!W18)</f>
        <v>TIC8927</v>
      </c>
      <c r="D93" s="17" t="str">
        <f>IF(PEPSI!X18="","",PEPSI!X18)</f>
        <v>UVa</v>
      </c>
      <c r="E93" s="17">
        <f>IF(PEPSI!Y18="","",PEPSI!Y18)</f>
        <v>2</v>
      </c>
      <c r="F93" s="203"/>
    </row>
    <row r="94" spans="2:6" x14ac:dyDescent="0.2">
      <c r="B94" s="6">
        <f>PEPSI!V19</f>
        <v>15</v>
      </c>
      <c r="C94" s="17" t="str">
        <f>IF(PEPSI!W19="","",PEPSI!W19)</f>
        <v>TIC2783</v>
      </c>
      <c r="D94" s="17" t="str">
        <f>IF(PEPSI!X19="","",PEPSI!X19)</f>
        <v>UVa</v>
      </c>
      <c r="E94" s="17">
        <f>IF(PEPSI!Y19="","",PEPSI!Y19)</f>
        <v>2</v>
      </c>
      <c r="F94" s="203"/>
    </row>
    <row r="95" spans="2:6" x14ac:dyDescent="0.2">
      <c r="B95" s="6">
        <f>PEPSI!V20</f>
        <v>16</v>
      </c>
      <c r="C95" s="17" t="str">
        <f>IF(PEPSI!W20="","",PEPSI!W20)</f>
        <v>TIC4140</v>
      </c>
      <c r="D95" s="17" t="str">
        <f>IF(PEPSI!X20="","",PEPSI!X20)</f>
        <v>UVa</v>
      </c>
      <c r="E95" s="17">
        <f>IF(PEPSI!Y20="","",PEPSI!Y20)</f>
        <v>2</v>
      </c>
      <c r="F95" s="203"/>
    </row>
    <row r="96" spans="2:6" x14ac:dyDescent="0.2">
      <c r="B96" s="6">
        <f>PEPSI!V21</f>
        <v>17</v>
      </c>
      <c r="C96" s="17" t="str">
        <f>IF(PEPSI!W21="","",PEPSI!W21)</f>
        <v>TIC4707</v>
      </c>
      <c r="D96" s="17" t="str">
        <f>IF(PEPSI!X21="","",PEPSI!X21)</f>
        <v>UVa</v>
      </c>
      <c r="E96" s="17">
        <f>IF(PEPSI!Y21="","",PEPSI!Y21)</f>
        <v>1</v>
      </c>
      <c r="F96" s="203" t="s">
        <v>236</v>
      </c>
    </row>
    <row r="97" spans="2:6" x14ac:dyDescent="0.2">
      <c r="B97" s="6">
        <f>PEPSI!V22</f>
        <v>18</v>
      </c>
      <c r="C97" s="17" t="str">
        <f>IF(PEPSI!W22="","",PEPSI!W22)</f>
        <v/>
      </c>
      <c r="D97" s="17" t="str">
        <f>IF(PEPSI!X22="","",PEPSI!X22)</f>
        <v/>
      </c>
      <c r="E97" s="17" t="str">
        <f>IF(PEPSI!Y22="","",PEPSI!Y22)</f>
        <v/>
      </c>
      <c r="F97" s="203"/>
    </row>
    <row r="98" spans="2:6" x14ac:dyDescent="0.2">
      <c r="B98" s="6">
        <f>PEPSI!V23</f>
        <v>19</v>
      </c>
      <c r="C98" s="17" t="str">
        <f>IF(PEPSI!W23="","",PEPSI!W23)</f>
        <v/>
      </c>
      <c r="D98" s="17" t="str">
        <f>IF(PEPSI!X23="","",PEPSI!X23)</f>
        <v/>
      </c>
      <c r="E98" s="17" t="str">
        <f>IF(PEPSI!Y23="","",PEPSI!Y23)</f>
        <v/>
      </c>
      <c r="F98" s="203"/>
    </row>
    <row r="99" spans="2:6" ht="17" thickBot="1" x14ac:dyDescent="0.25">
      <c r="B99" s="8">
        <f>PEPSI!V24</f>
        <v>20</v>
      </c>
      <c r="C99" s="201" t="str">
        <f>IF(PEPSI!W24="","",PEPSI!W24)</f>
        <v/>
      </c>
      <c r="D99" s="201" t="str">
        <f>IF(PEPSI!X24="","",PEPSI!X24)</f>
        <v/>
      </c>
      <c r="E99" s="201" t="str">
        <f>IF(PEPSI!Y24="","",PEPSI!Y24)</f>
        <v/>
      </c>
      <c r="F99" s="204"/>
    </row>
  </sheetData>
  <conditionalFormatting sqref="E8:E27">
    <cfRule type="colorScale" priority="7">
      <colorScale>
        <cfvo type="num" val="1"/>
        <cfvo type="num" val="2"/>
        <cfvo type="num" val="3"/>
        <color rgb="FFFFB3C1"/>
        <color theme="7" tint="0.79998168889431442"/>
        <color theme="9" tint="0.59999389629810485"/>
      </colorScale>
    </cfRule>
  </conditionalFormatting>
  <conditionalFormatting sqref="E32:E51">
    <cfRule type="colorScale" priority="4">
      <colorScale>
        <cfvo type="num" val="1"/>
        <cfvo type="num" val="2"/>
        <cfvo type="num" val="3"/>
        <color rgb="FFFFB3C1"/>
        <color theme="7" tint="0.79998168889431442"/>
        <color theme="9" tint="0.59999389629810485"/>
      </colorScale>
    </cfRule>
  </conditionalFormatting>
  <conditionalFormatting sqref="E56:E75">
    <cfRule type="colorScale" priority="2">
      <colorScale>
        <cfvo type="num" val="1"/>
        <cfvo type="num" val="2"/>
        <cfvo type="num" val="3"/>
        <color rgb="FFFFB3C1"/>
        <color theme="7" tint="0.79998168889431442"/>
        <color theme="9" tint="0.59999389629810485"/>
      </colorScale>
    </cfRule>
  </conditionalFormatting>
  <conditionalFormatting sqref="E80:E99">
    <cfRule type="colorScale" priority="1">
      <colorScale>
        <cfvo type="num" val="1"/>
        <cfvo type="num" val="2"/>
        <cfvo type="num" val="3"/>
        <color rgb="FFFFB3C1"/>
        <color theme="7" tint="0.79998168889431442"/>
        <color theme="9" tint="0.59999389629810485"/>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FD5C1-9F83-0544-867B-5962462158C0}">
  <dimension ref="A1:BT64"/>
  <sheetViews>
    <sheetView topLeftCell="F1" zoomScale="120" zoomScaleNormal="120" workbookViewId="0">
      <selection activeCell="B9" sqref="B9"/>
    </sheetView>
  </sheetViews>
  <sheetFormatPr baseColWidth="10" defaultRowHeight="16" x14ac:dyDescent="0.2"/>
  <cols>
    <col min="1" max="1" width="11.5" customWidth="1"/>
    <col min="2" max="2" width="8.1640625" customWidth="1"/>
    <col min="3" max="3" width="8.5" customWidth="1"/>
    <col min="4" max="4" width="6" customWidth="1"/>
    <col min="5" max="5" width="11.6640625" customWidth="1"/>
    <col min="6" max="6" width="4.33203125" customWidth="1"/>
    <col min="7" max="7" width="5.83203125" customWidth="1"/>
    <col min="8" max="9" width="6.83203125" customWidth="1"/>
    <col min="10" max="10" width="6.5" customWidth="1"/>
    <col min="11" max="11" width="6.6640625" customWidth="1"/>
    <col min="12" max="12" width="5.83203125" customWidth="1"/>
    <col min="13" max="13" width="5.6640625" customWidth="1"/>
    <col min="14" max="14" width="5.1640625" customWidth="1"/>
    <col min="15" max="15" width="5.6640625" customWidth="1"/>
    <col min="16" max="16" width="7.1640625" customWidth="1"/>
    <col min="17" max="17" width="6" customWidth="1"/>
    <col min="18" max="18" width="6.33203125" customWidth="1"/>
    <col min="19" max="19" width="5.83203125" customWidth="1"/>
    <col min="20" max="20" width="6" customWidth="1"/>
    <col min="21" max="22" width="6.33203125" customWidth="1"/>
    <col min="23" max="23" width="20.1640625" customWidth="1"/>
    <col min="24" max="24" width="6.5" customWidth="1"/>
    <col min="25" max="25" width="6" customWidth="1"/>
    <col min="26" max="26" width="6.33203125" customWidth="1"/>
    <col min="27" max="27" width="6.83203125" customWidth="1"/>
    <col min="28" max="28" width="6.33203125" customWidth="1"/>
    <col min="29" max="30" width="6" customWidth="1"/>
    <col min="31" max="31" width="6.1640625" customWidth="1"/>
    <col min="32" max="32" width="6.83203125" customWidth="1"/>
    <col min="33" max="33" width="7" customWidth="1"/>
    <col min="34" max="38" width="7.33203125" customWidth="1"/>
    <col min="39" max="39" width="5.83203125" customWidth="1"/>
    <col min="40" max="40" width="5.5" customWidth="1"/>
    <col min="41" max="41" width="5.6640625" customWidth="1"/>
    <col min="42" max="42" width="5.5" customWidth="1"/>
    <col min="43" max="43" width="6" customWidth="1"/>
    <col min="44" max="44" width="5.6640625" customWidth="1"/>
    <col min="45" max="45" width="6" customWidth="1"/>
    <col min="46" max="49" width="6.5" customWidth="1"/>
    <col min="50" max="51" width="5.83203125" customWidth="1"/>
    <col min="52" max="52" width="5.1640625" customWidth="1"/>
    <col min="53" max="53" width="5.83203125" customWidth="1"/>
    <col min="54" max="54" width="6.1640625" customWidth="1"/>
    <col min="55" max="55" width="5.6640625" customWidth="1"/>
    <col min="56" max="56" width="5.5" customWidth="1"/>
    <col min="57" max="59" width="5.33203125" customWidth="1"/>
    <col min="60" max="60" width="5.5" customWidth="1"/>
    <col min="61" max="61" width="5.6640625" customWidth="1"/>
    <col min="62" max="63" width="5.5" customWidth="1"/>
    <col min="64" max="64" width="5" customWidth="1"/>
    <col min="65" max="65" width="5.5" customWidth="1"/>
    <col min="66" max="66" width="5.83203125" customWidth="1"/>
    <col min="67" max="67" width="5.6640625" customWidth="1"/>
    <col min="68" max="68" width="5.1640625" customWidth="1"/>
    <col min="69" max="69" width="5.5" customWidth="1"/>
    <col min="70" max="70" width="5.6640625" customWidth="1"/>
    <col min="71" max="71" width="6.1640625" customWidth="1"/>
    <col min="72" max="72" width="6" customWidth="1"/>
  </cols>
  <sheetData>
    <row r="1" spans="1:72" ht="17" thickBot="1" x14ac:dyDescent="0.25">
      <c r="X1" s="285" t="s">
        <v>36</v>
      </c>
      <c r="Y1" s="286"/>
      <c r="Z1" s="286"/>
      <c r="AA1" s="287"/>
      <c r="AF1" s="288" t="s">
        <v>249</v>
      </c>
      <c r="AG1" s="289"/>
      <c r="AH1" s="290"/>
      <c r="AK1" s="294" t="s">
        <v>255</v>
      </c>
      <c r="AL1" s="295"/>
      <c r="AM1" s="296"/>
      <c r="AQ1" s="291" t="s">
        <v>253</v>
      </c>
      <c r="AR1" s="292"/>
      <c r="AS1" s="292"/>
      <c r="AT1" s="293"/>
      <c r="BE1" s="291" t="s">
        <v>37</v>
      </c>
      <c r="BF1" s="292"/>
      <c r="BG1" s="292"/>
      <c r="BH1" s="292"/>
      <c r="BI1" s="293"/>
    </row>
    <row r="2" spans="1:72" x14ac:dyDescent="0.2">
      <c r="A2" s="280" t="s">
        <v>148</v>
      </c>
      <c r="B2" s="281"/>
      <c r="C2" s="282"/>
      <c r="V2" s="23" t="s">
        <v>33</v>
      </c>
      <c r="W2" s="140" t="s">
        <v>117</v>
      </c>
      <c r="X2" s="140" t="s">
        <v>111</v>
      </c>
      <c r="Y2" s="140" t="s">
        <v>119</v>
      </c>
      <c r="Z2" s="140" t="s">
        <v>118</v>
      </c>
      <c r="AA2" s="140" t="s">
        <v>2</v>
      </c>
      <c r="AB2" s="140" t="s">
        <v>1</v>
      </c>
      <c r="AC2" s="140" t="s">
        <v>121</v>
      </c>
      <c r="AD2" s="140" t="s">
        <v>252</v>
      </c>
      <c r="AE2" s="141" t="s">
        <v>6</v>
      </c>
      <c r="AF2" s="141" t="s">
        <v>131</v>
      </c>
      <c r="AG2" s="141" t="s">
        <v>9</v>
      </c>
      <c r="AH2" s="283" t="s">
        <v>206</v>
      </c>
      <c r="AI2" s="284"/>
      <c r="AJ2" s="1"/>
      <c r="AK2" s="240" t="s">
        <v>254</v>
      </c>
      <c r="AL2" s="241" t="s">
        <v>251</v>
      </c>
      <c r="AM2" s="242" t="s">
        <v>252</v>
      </c>
      <c r="AN2" s="143" t="s">
        <v>0</v>
      </c>
      <c r="AO2" s="140" t="s">
        <v>5</v>
      </c>
      <c r="AP2" s="140" t="s">
        <v>10</v>
      </c>
      <c r="AQ2" s="142" t="s">
        <v>6</v>
      </c>
      <c r="AR2" s="140" t="s">
        <v>38</v>
      </c>
      <c r="AS2" s="143" t="s">
        <v>28</v>
      </c>
      <c r="AT2" s="142" t="s">
        <v>29</v>
      </c>
      <c r="AU2" s="140" t="s">
        <v>129</v>
      </c>
      <c r="AV2" s="143" t="s">
        <v>2</v>
      </c>
      <c r="AW2" s="210" t="s">
        <v>1</v>
      </c>
      <c r="AY2" s="12" t="s">
        <v>17</v>
      </c>
      <c r="AZ2" s="20">
        <v>0</v>
      </c>
      <c r="BA2" s="20">
        <v>1</v>
      </c>
      <c r="BB2" s="20">
        <v>2</v>
      </c>
      <c r="BC2" s="20">
        <v>3</v>
      </c>
      <c r="BD2" s="20">
        <v>4</v>
      </c>
      <c r="BE2" s="20">
        <v>5</v>
      </c>
      <c r="BF2" s="20">
        <v>6</v>
      </c>
      <c r="BG2" s="20">
        <v>7</v>
      </c>
      <c r="BH2" s="20">
        <v>8</v>
      </c>
      <c r="BI2" s="20">
        <v>9</v>
      </c>
      <c r="BJ2" s="20">
        <v>10</v>
      </c>
      <c r="BK2" s="20">
        <v>11</v>
      </c>
      <c r="BL2" s="20">
        <v>12</v>
      </c>
      <c r="BM2" s="20">
        <v>13</v>
      </c>
      <c r="BN2" s="20">
        <v>14</v>
      </c>
      <c r="BO2" s="20">
        <v>15</v>
      </c>
      <c r="BP2" s="20">
        <v>16</v>
      </c>
      <c r="BQ2" s="20">
        <v>17</v>
      </c>
      <c r="BR2" s="20">
        <v>18</v>
      </c>
      <c r="BS2" s="20">
        <v>19</v>
      </c>
      <c r="BT2" s="21">
        <v>20</v>
      </c>
    </row>
    <row r="3" spans="1:72" x14ac:dyDescent="0.2">
      <c r="A3" s="31" t="s">
        <v>7</v>
      </c>
      <c r="B3">
        <v>32.700000000000003</v>
      </c>
      <c r="C3" s="14" t="s">
        <v>4</v>
      </c>
      <c r="V3" s="24" t="s">
        <v>17</v>
      </c>
      <c r="W3" s="38"/>
      <c r="X3" s="38"/>
      <c r="Y3" s="38" t="s">
        <v>120</v>
      </c>
      <c r="Z3" s="38" t="s">
        <v>127</v>
      </c>
      <c r="AA3" s="38" t="s">
        <v>247</v>
      </c>
      <c r="AB3" s="38" t="s">
        <v>248</v>
      </c>
      <c r="AC3" s="38" t="s">
        <v>122</v>
      </c>
      <c r="AD3" s="38" t="s">
        <v>122</v>
      </c>
      <c r="AE3" s="101" t="s">
        <v>4</v>
      </c>
      <c r="AF3" s="101" t="s">
        <v>122</v>
      </c>
      <c r="AG3" s="101" t="s">
        <v>15</v>
      </c>
      <c r="AH3" s="101" t="s">
        <v>203</v>
      </c>
      <c r="AI3" s="218" t="s">
        <v>205</v>
      </c>
      <c r="AJ3" s="1"/>
      <c r="AK3" s="243" t="s">
        <v>4</v>
      </c>
      <c r="AL3" s="4" t="s">
        <v>17</v>
      </c>
      <c r="AM3" s="244" t="s">
        <v>122</v>
      </c>
      <c r="AN3" s="63" t="s">
        <v>122</v>
      </c>
      <c r="AO3" s="38" t="s">
        <v>123</v>
      </c>
      <c r="AP3" s="38" t="s">
        <v>25</v>
      </c>
      <c r="AQ3" s="39" t="s">
        <v>25</v>
      </c>
      <c r="AR3" s="38" t="s">
        <v>4</v>
      </c>
      <c r="AS3" s="63" t="s">
        <v>17</v>
      </c>
      <c r="AT3" s="39" t="s">
        <v>17</v>
      </c>
      <c r="AU3" s="38" t="s">
        <v>130</v>
      </c>
      <c r="AV3" s="38" t="s">
        <v>122</v>
      </c>
      <c r="AW3" s="211" t="s">
        <v>123</v>
      </c>
      <c r="AY3" s="13" t="s">
        <v>8</v>
      </c>
      <c r="AZ3" s="19" t="str">
        <f>W4</f>
        <v>Moon</v>
      </c>
      <c r="BA3" s="19" t="str">
        <f>W5</f>
        <v>XMD Mrk59</v>
      </c>
      <c r="BB3" s="19" t="str">
        <f>W6</f>
        <v>SBS1135</v>
      </c>
      <c r="BC3" s="19" t="str">
        <f>W7</f>
        <v>SBS1437</v>
      </c>
      <c r="BD3" s="19">
        <f>W8</f>
        <v>0</v>
      </c>
      <c r="BE3" s="19" t="str">
        <f>W9</f>
        <v>SDSS1411</v>
      </c>
      <c r="BF3" s="19" t="str">
        <f>W10</f>
        <v>gd153</v>
      </c>
      <c r="BG3" s="19" t="str">
        <f>W11</f>
        <v>SCAT-2024pjl</v>
      </c>
      <c r="BH3" s="19" t="str">
        <f>W12</f>
        <v>SCAT-2024inv</v>
      </c>
      <c r="BI3" s="19" t="str">
        <f>W13</f>
        <v>g191b2b</v>
      </c>
      <c r="BJ3" s="19" t="str">
        <f>W14</f>
        <v>U4115-dw2</v>
      </c>
      <c r="BK3" s="19" t="str">
        <f>W15</f>
        <v>U4115-dw1</v>
      </c>
      <c r="BL3" s="19" t="str">
        <f>W16</f>
        <v>U4426-dw1</v>
      </c>
      <c r="BM3" s="19" t="str">
        <f>W17</f>
        <v>N3738-dw7</v>
      </c>
      <c r="BN3" s="19" t="str">
        <f>W18</f>
        <v>N3738-dw10</v>
      </c>
      <c r="BO3" s="19" t="str">
        <f>W19</f>
        <v>N4236-dw13</v>
      </c>
      <c r="BP3" s="19" t="str">
        <f>W20</f>
        <v>I4182-dw13</v>
      </c>
      <c r="BQ3" s="19" t="str">
        <f>W21</f>
        <v>N4861-dw5</v>
      </c>
      <c r="BR3" s="19" t="str">
        <f>W22</f>
        <v>N5204-dw3</v>
      </c>
      <c r="BS3" s="19" t="str">
        <f>W23</f>
        <v>N5585-dw11</v>
      </c>
      <c r="BT3" s="22" t="str">
        <f>W24</f>
        <v>N6503-dw6</v>
      </c>
    </row>
    <row r="4" spans="1:72" x14ac:dyDescent="0.2">
      <c r="A4" s="6"/>
      <c r="C4" s="14"/>
      <c r="P4" s="3"/>
      <c r="V4" s="24">
        <v>0</v>
      </c>
      <c r="W4" s="17" t="s">
        <v>9</v>
      </c>
      <c r="X4" s="17"/>
      <c r="Y4" s="17"/>
      <c r="Z4" s="17"/>
      <c r="AC4" s="17"/>
      <c r="AD4" s="17"/>
      <c r="AE4" s="18">
        <f t="shared" ref="AE4:AE24" si="0">IF(OR(W4="",Z4&lt;&gt;""),NA(),180/PI()*ASIN(SIN(RADIANS($B$3))*SIN(RADIANS(AW4)) + COS(RADIANS($B$3))*COS(RADIANS(AW4))*COS(RADIANS(15*AN4))))</f>
        <v>-14.80679400226955</v>
      </c>
      <c r="AF4" s="64">
        <v>0</v>
      </c>
      <c r="AG4" s="18">
        <f>IF(OR(W4="",Z4&lt;&gt;""),NA(),180/PI()*ACOS(SIN(RADIANS(AW4))*SIN(RADIANS($AW$4))+COS(RADIANS(AW4))*COS(RADIANS($AW$4))*COS(RADIANS(15*(AN4-$AN$4)))))</f>
        <v>0</v>
      </c>
      <c r="AH4" s="18">
        <v>0</v>
      </c>
      <c r="AI4" s="219">
        <v>0</v>
      </c>
      <c r="AJ4" s="64"/>
      <c r="AK4" s="245"/>
      <c r="AL4" s="46"/>
      <c r="AM4" s="220"/>
      <c r="AN4" s="65">
        <f t="shared" ref="AN4:AN24" si="1">IF(OR(W4="",Z4&lt;&gt;""),NA(),IF($B$6-AV4&gt;12,($B$6-AV4)-24,IF($B$6-AV4&lt;-12,$B$6-AV4+24,$B$6-AV4)))</f>
        <v>6.5785105176989873</v>
      </c>
      <c r="AO4" s="64">
        <f t="shared" ref="AO4:AO24" si="2">IF(OR(W4="",Z4&lt;&gt;""),NA(),MOD(-180/PI()*ATAN2(-SIN(RADIANS($B$3))*COS(RADIANS(AW4))*COS(RADIANS(15*AN4)) + COS(RADIANS($B$3))*SIN(RADIANS(AW4)),COS(RADIANS(AW4))*SIN(RADIANS(15*AN4))),360))</f>
        <v>262.43207214175902</v>
      </c>
      <c r="AP4" s="65">
        <f t="shared" ref="AP4:AP24" si="3">IF(OR(W4="",Z4&lt;&gt;""),NA(),MOD(AV4-$B$5,24))</f>
        <v>18.988156148967683</v>
      </c>
      <c r="AQ4" s="64">
        <f t="shared" ref="AQ4:AQ24" si="4">IF(OR(W4="",Z4&lt;&gt;""),NA(),180/PI()*ASIN(SIN(RADIANS($B$3))*SIN(RADIANS(AW4)) + COS(RADIANS($B$3))*COS(RADIANS(AW4))))</f>
        <v>43.105636220368886</v>
      </c>
      <c r="AR4" s="64">
        <f t="shared" ref="AR4:AR24" si="5">IF(OR(W4="",Z4&lt;&gt;""),NA(),180/PI()*ATAN2(TAN(RADIANS($B$3))*COS(RADIANS(AW4)) - SIN(RADIANS(AW4))*COS(RADIANS(15*AN4)),SIN(RADIANS(15*AN4))))</f>
        <v>59.367230203491339</v>
      </c>
      <c r="AS4" s="35" t="e">
        <f t="shared" ref="AS4:AS24" si="6">IF(OR(W4="",Z4&lt;&gt;"",AE4&lt;0),NA(),(90-AE4)/90*SIN(RADIANS(-AO4)))</f>
        <v>#N/A</v>
      </c>
      <c r="AT4" s="35" t="e">
        <f t="shared" ref="AT4:AT24" si="7">IF(OR(W4="",Z4&lt;&gt;"",AE4&lt;0),NA(),(90-AE4)/90*COS(RADIANS(AO4)))</f>
        <v>#N/A</v>
      </c>
      <c r="AU4" t="e">
        <f>NA()</f>
        <v>#N/A</v>
      </c>
      <c r="AV4" s="35">
        <f>Calcs!B55</f>
        <v>22.134318203214686</v>
      </c>
      <c r="AW4" s="212">
        <f>Calcs!B56</f>
        <v>-14.194363779631127</v>
      </c>
      <c r="AY4" s="13" t="s">
        <v>10</v>
      </c>
      <c r="AZ4" s="19">
        <f>Y4</f>
        <v>0</v>
      </c>
      <c r="BA4" s="19">
        <f>Y5</f>
        <v>2</v>
      </c>
      <c r="BB4" s="19">
        <f>Y6</f>
        <v>1</v>
      </c>
      <c r="BC4" s="19">
        <f>Y7</f>
        <v>2</v>
      </c>
      <c r="BD4" s="19">
        <f>Y8</f>
        <v>0</v>
      </c>
      <c r="BE4" s="19">
        <f>Y9</f>
        <v>1</v>
      </c>
      <c r="BF4" s="19">
        <f>Y10</f>
        <v>1</v>
      </c>
      <c r="BG4" s="19">
        <f>Y11</f>
        <v>1</v>
      </c>
      <c r="BH4" s="19">
        <f>Y12</f>
        <v>2</v>
      </c>
      <c r="BI4" s="19">
        <f>Y13</f>
        <v>1</v>
      </c>
      <c r="BJ4" s="19">
        <f>Y14</f>
        <v>2</v>
      </c>
      <c r="BK4" s="19">
        <f>Y15</f>
        <v>1</v>
      </c>
      <c r="BL4" s="19">
        <f>Y16</f>
        <v>1</v>
      </c>
      <c r="BM4" s="19">
        <f>Y17</f>
        <v>3</v>
      </c>
      <c r="BN4" s="19">
        <f>Y18</f>
        <v>2</v>
      </c>
      <c r="BO4" s="19">
        <f>Y19</f>
        <v>1</v>
      </c>
      <c r="BP4" s="19">
        <f>Y20</f>
        <v>1</v>
      </c>
      <c r="BQ4" s="19">
        <f>Y21</f>
        <v>3</v>
      </c>
      <c r="BR4" s="19">
        <f>Y22</f>
        <v>3</v>
      </c>
      <c r="BS4" s="19">
        <f>Y23</f>
        <v>2</v>
      </c>
      <c r="BT4" s="22">
        <f>Y24</f>
        <v>2</v>
      </c>
    </row>
    <row r="5" spans="1:72" x14ac:dyDescent="0.2">
      <c r="A5" s="31" t="s">
        <v>102</v>
      </c>
      <c r="B5" s="16">
        <f>Calcs!B23</f>
        <v>3.1461620542470055</v>
      </c>
      <c r="C5" s="14" t="s">
        <v>3</v>
      </c>
      <c r="P5" s="3"/>
      <c r="V5" s="24">
        <v>1</v>
      </c>
      <c r="W5" s="5" t="s">
        <v>299</v>
      </c>
      <c r="X5" s="5" t="s">
        <v>112</v>
      </c>
      <c r="Y5" s="5">
        <v>2</v>
      </c>
      <c r="Z5" s="5"/>
      <c r="AA5" s="159">
        <v>12.59</v>
      </c>
      <c r="AB5" s="159">
        <v>34.5</v>
      </c>
      <c r="AC5" s="34">
        <v>1.31</v>
      </c>
      <c r="AD5" s="34">
        <v>4.0999999999999996</v>
      </c>
      <c r="AE5" s="18">
        <f t="shared" si="0"/>
        <v>-4.4876354410315882</v>
      </c>
      <c r="AF5" s="96">
        <f t="shared" ref="AF5:AF24" si="8">IF(OR(W5="",Z5&lt;&gt;""),NA(),AP5+AD5-AC5  -  $B$7)</f>
        <v>11.06050461241966</v>
      </c>
      <c r="AG5" s="18" t="e">
        <f t="shared" ref="AG5:AG24" si="9">IF(OR(W5="",Z5&lt;&gt;"",$AE$4&lt;0),NA(),180/PI()*ACOS(SIN(RADIANS(AW5))*SIN(RADIANS($AW$4))+COS(RADIANS(AW5))*COS(RADIANS($AW$4))*COS(RADIANS(15*(AN5-$AN$4)))))</f>
        <v>#N/A</v>
      </c>
      <c r="AH5" s="18" t="e">
        <f>IF(OR($AE$4&lt;0,AE5&lt;0),NA(),  Calcs!$B$62*10^(-0.4*Calcs!$B$63*_xlfn.SEC(RADIANS(90-$AE$4)))  *  (1 - 10^(-0.4*Calcs!$B$63*_xlfn.SEC(RADIANS(90-AE5))))  *  (  10^5.36 * (1.06+ (COS(RADIANS(AG5))^2)) + 10^(6.15 - AG5/40) )  )</f>
        <v>#N/A</v>
      </c>
      <c r="AI5" s="220" t="e">
        <f t="shared" ref="AI5:AI24" si="10">IF(OR($AE$4&lt;0,AE5&lt;0),NA(),  22.5 - 1.086* LN(AH5/34.08) )</f>
        <v>#N/A</v>
      </c>
      <c r="AJ5" s="65"/>
      <c r="AK5" s="238"/>
      <c r="AL5" s="46" t="e">
        <f>IF(AK5="",NA(),1/SIN(RADIANS(AK5)))</f>
        <v>#N/A</v>
      </c>
      <c r="AM5" s="220" t="e">
        <f t="shared" ref="AM5:AM24" si="11">IF(AK5="",NA(),180/PI()/15*ACOS( (SIN(RADIANS(AK5)) - SIN(RADIANS($B$3))*SIN(RADIANS(AW5)))/(COS(RADIANS($B$3))*COS(RADIANS(AW5))) ))</f>
        <v>#N/A</v>
      </c>
      <c r="AN5" s="65">
        <f t="shared" si="1"/>
        <v>-8.2705046124196606</v>
      </c>
      <c r="AO5" s="64">
        <f t="shared" si="2"/>
        <v>43.009361633557425</v>
      </c>
      <c r="AP5" s="65">
        <f t="shared" si="3"/>
        <v>9.837171279086327</v>
      </c>
      <c r="AQ5" s="64">
        <f t="shared" si="4"/>
        <v>87.866666666666674</v>
      </c>
      <c r="AR5" s="64">
        <f t="shared" si="5"/>
        <v>-44.372057844508724</v>
      </c>
      <c r="AS5" s="35" t="e">
        <f t="shared" si="6"/>
        <v>#N/A</v>
      </c>
      <c r="AT5" s="35" t="e">
        <f t="shared" si="7"/>
        <v>#N/A</v>
      </c>
      <c r="AU5" t="e">
        <f t="shared" ref="AU5:AU24" si="12">IF(OR(AN5&lt;-1*AD5,AF5&lt;0,AE5&lt;30),NA(),AF5)</f>
        <v>#N/A</v>
      </c>
      <c r="AV5" s="35">
        <f t="shared" ref="AV5:AV24" si="13">IF(AA5="",NA(),INT(AA5) + 100*MOD(AA5,1)/60)</f>
        <v>12.983333333333333</v>
      </c>
      <c r="AW5" s="212">
        <f t="shared" ref="AW5:AW24" si="14">IF(AB5="",NA(),IF(AB5&gt;0,INT(AB5) + 100*MOD(AB5,1)/60,-INT(-AB5) - 100*MOD(-AB5,1)/60))</f>
        <v>34.833333333333336</v>
      </c>
      <c r="AY5" s="29">
        <f>INT($B$16)-8</f>
        <v>-1</v>
      </c>
      <c r="AZ5" s="3">
        <f t="shared" ref="AZ5:AZ37" si="15">180/PI()*ASIN(SIN(RADIANS($B$3))*SIN(RADIANS($AW$4)) + COS(RADIANS($B$3))*COS(RADIANS($AW$4))*COS(RADIANS(15*(AY5+$B$5-$AV$4))))</f>
        <v>15.857360496757829</v>
      </c>
      <c r="BA5" s="3">
        <f t="shared" ref="BA5:BA37" si="16">IF(OR($W$5="",$Z$5&lt;&gt;""),NA(),180/PI()*ASIN(SIN(RADIANS($B$3))*SIN(RADIANS($AW$5)) + COS(RADIANS($B$3))*COS(RADIANS($AW$5))*COS(RADIANS(15*(AY5+$B$5-$AV$5)))))</f>
        <v>-20.510884612179069</v>
      </c>
      <c r="BB5" s="3">
        <f t="shared" ref="BB5:BB37" si="17">IF(OR($W$6="",$Z$6&lt;&gt;""),NA(),180/PI()*ASIN(SIN(RADIANS($B$3))*SIN(RADIANS($AW$6)) + COS(RADIANS($B$3))*COS(RADIANS($AW$6))*COS(RADIANS(15*(AY5+$B$5-$AV$6)))))</f>
        <v>5.9292666616812859</v>
      </c>
      <c r="BC5" s="3">
        <f t="shared" ref="BC5:BC37" si="18">IF(OR($W$7="",$Z$7&lt;&gt;""),NA(),180/PI()*ASIN(SIN(RADIANS($B$3))*SIN(RADIANS($AW$7)) + COS(RADIANS($B$3))*COS(RADIANS($AW$7))*COS(RADIANS(15*(AY5+$B$5-$AV$7)))))</f>
        <v>-20.142367389824788</v>
      </c>
      <c r="BD5" s="3" t="e">
        <f t="shared" ref="BD5:BD37" si="19">IF(OR($W$8="",$Z$8&lt;&gt;""),NA(),180/PI()*ASIN(SIN(RADIANS($B$3))*SIN(RADIANS($AW$8)) + COS(RADIANS($B$3))*COS(RADIANS($AW$8))*COS(RADIANS(15*(AY5+$B$5-$AV$8)))))</f>
        <v>#N/A</v>
      </c>
      <c r="BE5" s="3">
        <f t="shared" ref="BE5:BE37" si="20">IF(OR($W$9="",$Z$9&lt;&gt;""),NA(),180/PI()*ASIN(SIN(RADIANS($B$3))*SIN(RADIANS($AW$9)) + COS(RADIANS($B$3))*COS(RADIANS($AW$9))*COS(RADIANS(15*(AY5+$B$5-$AV$9)))))</f>
        <v>-37.147311102564409</v>
      </c>
      <c r="BF5" s="3">
        <f t="shared" ref="BF5:BF37" si="21">IF(OR($W$10="",$Z$10&lt;&gt;""),NA(),180/PI()*ASIN(SIN(RADIANS($B$3))*SIN(RADIANS($AW$10)) + COS(RADIANS($B$3))*COS(RADIANS($AW$10))*COS(RADIANS(15*(AY5+$B$5-$AV$10)))))</f>
        <v>-32.661797070147202</v>
      </c>
      <c r="BG5" s="3">
        <f t="shared" ref="BG5:BG37" si="22">IF(OR($W$11="",$Z$11&lt;&gt;""),NA(),180/PI()*ASIN(SIN(RADIANS($B$3))*SIN(RADIANS($AW$11)) + COS(RADIANS($B$3))*COS(RADIANS($AW$11))*COS(RADIANS(15*(AY5+$B$5-$AV$11)))))</f>
        <v>38.483940167110454</v>
      </c>
      <c r="BH5" s="3">
        <f t="shared" ref="BH5:BH37" si="23">IF(OR($W$12="",$Z$12&lt;&gt;""),NA(),180/PI()*ASIN(SIN(RADIANS($B$3))*SIN(RADIANS($AW$12)) + COS(RADIANS($B$3))*COS(RADIANS($AW$12))*COS(RADIANS(15*(AY5+$B$5-$AV$12)))))</f>
        <v>-28.021316471290401</v>
      </c>
      <c r="BI5" s="3">
        <f t="shared" ref="BI5:BI37" si="24">IF(OR($W$13="",$Z$13&lt;&gt;""),NA(),180/PI()*ASIN(SIN(RADIANS($B$3))*SIN(RADIANS($AW$13)) + COS(RADIANS($B$3))*COS(RADIANS($AW$13))*COS(RADIANS(15*(AY5+$B$5-$AV$13)))))</f>
        <v>52.740388403573697</v>
      </c>
      <c r="BJ5" s="3">
        <f t="shared" ref="BJ5:BJ37" si="25">IF(OR($W$14="",$Z$14&lt;&gt;""),NA(),180/PI()*ASIN(SIN(RADIANS($B$3))*SIN(RADIANS($AW$14)) + COS(RADIANS($B$3))*COS(RADIANS($AW$14))*COS(RADIANS(15*(AY5+$B$5-$AV$14)))))</f>
        <v>9.7782261875369016</v>
      </c>
      <c r="BK5" s="3" t="e">
        <f t="shared" ref="BK5:BK37" si="26">IF(OR($W$15="",$Z$15&lt;&gt;""),NA(),180/PI()*ASIN(SIN(RADIANS($B$3))*SIN(RADIANS($AW$15)) + COS(RADIANS($B$3))*COS(RADIANS($AW$15))*COS(RADIANS(15*(AY5+$B$5-$AV$15)))))</f>
        <v>#N/A</v>
      </c>
      <c r="BL5" s="3">
        <f t="shared" ref="BL5:BL37" si="27">IF(OR($W$16="",$Z$16&lt;&gt;""),NA(),180/PI()*ASIN(SIN(RADIANS($B$3))*SIN(RADIANS($AW$16)) + COS(RADIANS($B$3))*COS(RADIANS($AW$16))*COS(RADIANS(15*(AY5+$B$5-$AV$16)))))</f>
        <v>18.358657088545236</v>
      </c>
      <c r="BM5" s="3" t="e">
        <f t="shared" ref="BM5:BM37" si="28">IF(OR($W$17="",$Z$17&lt;&gt;""),NA(),180/PI()*ASIN(SIN(RADIANS($B$3))*SIN(RADIANS($AW$17)) + COS(RADIANS($B$3))*COS(RADIANS($AW$17))*COS(RADIANS(15*(AY5+$B$5-$AV$17)))))</f>
        <v>#N/A</v>
      </c>
      <c r="BN5" s="3">
        <f t="shared" ref="BN5:BN37" si="29">IF(OR($W$18="",$Z$18&lt;&gt;""),NA(),180/PI()*ASIN(SIN(RADIANS($B$3))*SIN(RADIANS($AW$18)) + COS(RADIANS($B$3))*COS(RADIANS($AW$18))*COS(RADIANS(15*(AY5+$B$5-$AV$18)))))</f>
        <v>2.0327228598973206</v>
      </c>
      <c r="BO5" s="3">
        <f t="shared" ref="BO5:BO37" si="30">IF(OR($W$19="",$Z$19&lt;&gt;""),NA(),180/PI()*ASIN(SIN(RADIANS($B$3))*SIN(RADIANS($AW$19)) + COS(RADIANS($B$3))*COS(RADIANS($AW$19))*COS(RADIANS(15*(AY5+$B$5-$AV$19)))))</f>
        <v>14.576783689901255</v>
      </c>
      <c r="BP5" s="3">
        <f t="shared" ref="BP5:BP37" si="31">IF(OR($W$20="",$Z$20&lt;&gt;""),NA(),180/PI()*ASIN(SIN(RADIANS($B$3))*SIN(RADIANS($AW$20)) + COS(RADIANS($B$3))*COS(RADIANS($AW$20))*COS(RADIANS(15*(AY5+$B$5-$AV$20)))))</f>
        <v>-16.298372647067296</v>
      </c>
      <c r="BQ5" s="3" t="e">
        <f t="shared" ref="BQ5:BQ37" si="32">IF(OR($W$21="",$Z$21&lt;&gt;""),NA(),180/PI()*ASIN(SIN(RADIANS($B$3))*SIN(RADIANS($AW$21)) + COS(RADIANS($B$3))*COS(RADIANS($AW$21))*COS(RADIANS(15*(AY5+$B$5-$AV$21)))))</f>
        <v>#N/A</v>
      </c>
      <c r="BR5" s="3" t="e">
        <f t="shared" ref="BR5:BR37" si="33">IF(OR($W$22="",$Z$22&lt;&gt;""),NA(),180/PI()*ASIN(SIN(RADIANS($B$3))*SIN(RADIANS($AW$22)) + COS(RADIANS($B$3))*COS(RADIANS($AW$22))*COS(RADIANS(15*(AY5+$B$5-$AV$22)))))</f>
        <v>#N/A</v>
      </c>
      <c r="BS5" s="3">
        <f t="shared" ref="BS5:BS37" si="34">IF(OR($W$23="",$Z$23&lt;&gt;""),NA(),180/PI()*ASIN(SIN(RADIANS($B$3))*SIN(RADIANS($AW$23)) + COS(RADIANS($B$3))*COS(RADIANS($AW$23))*COS(RADIANS(15*(AY5+$B$5-$AV$23)))))</f>
        <v>-0.80798794664802298</v>
      </c>
      <c r="BT5" s="7">
        <f t="shared" ref="BT5:BT37" si="35">IF(OR($W$24="",$Z$24&lt;&gt;""),NA(),180/PI()*ASIN(SIN(RADIANS($B$3))*SIN(RADIANS($AW$24)) + COS(RADIANS($B$3))*COS(RADIANS($AW$24))*COS(RADIANS(15*(AY5+$B$5-$AV$24)))))</f>
        <v>19.071515778088465</v>
      </c>
    </row>
    <row r="6" spans="1:72" x14ac:dyDescent="0.2">
      <c r="A6" s="31" t="s">
        <v>42</v>
      </c>
      <c r="B6" s="42">
        <f>MOD(B7+B5,24)</f>
        <v>4.7128287209136719</v>
      </c>
      <c r="C6" s="14" t="s">
        <v>3</v>
      </c>
      <c r="P6" s="3"/>
      <c r="V6" s="24">
        <v>2</v>
      </c>
      <c r="W6" s="5" t="s">
        <v>298</v>
      </c>
      <c r="X6" s="5" t="s">
        <v>114</v>
      </c>
      <c r="Y6" s="5">
        <v>1</v>
      </c>
      <c r="Z6" s="5"/>
      <c r="AA6" s="159">
        <v>11.38</v>
      </c>
      <c r="AB6" s="159">
        <v>57.52</v>
      </c>
      <c r="AC6" s="34">
        <v>1.31</v>
      </c>
      <c r="AD6" s="34">
        <v>4</v>
      </c>
      <c r="AE6" s="18">
        <f t="shared" si="0"/>
        <v>20.527637887143513</v>
      </c>
      <c r="AF6" s="96">
        <f t="shared" si="8"/>
        <v>9.6105046124196623</v>
      </c>
      <c r="AG6" s="18" t="e">
        <f t="shared" si="9"/>
        <v>#N/A</v>
      </c>
      <c r="AH6" s="18" t="e">
        <f>IF(OR($AE$4&lt;0,AE6&lt;0),NA(),  Calcs!$B$62*10^(-0.4*Calcs!$B$63*_xlfn.SEC(RADIANS(90-$AE$4)))  *  (1 - 10^(-0.4*Calcs!$B$63*_xlfn.SEC(RADIANS(90-AE6))))  *  (  10^5.36 * (1.06+ (COS(RADIANS(AG6))^2)) + 10^(6.15 - AG6/40) )  )</f>
        <v>#N/A</v>
      </c>
      <c r="AI6" s="220" t="e">
        <f t="shared" si="10"/>
        <v>#N/A</v>
      </c>
      <c r="AJ6" s="65"/>
      <c r="AK6" s="238"/>
      <c r="AL6" s="46" t="e">
        <f t="shared" ref="AL6:AL24" si="36">IF(AK6="",NA(),1/SIN(RADIANS(AK6)))</f>
        <v>#N/A</v>
      </c>
      <c r="AM6" s="220" t="e">
        <f t="shared" si="11"/>
        <v>#N/A</v>
      </c>
      <c r="AN6" s="65">
        <f t="shared" si="1"/>
        <v>-6.9205046124196627</v>
      </c>
      <c r="AO6" s="64">
        <f t="shared" si="2"/>
        <v>33.472888025937635</v>
      </c>
      <c r="AP6" s="65">
        <f t="shared" si="3"/>
        <v>8.4871712790863292</v>
      </c>
      <c r="AQ6" s="64">
        <f t="shared" si="4"/>
        <v>64.833333333333329</v>
      </c>
      <c r="AR6" s="64">
        <f t="shared" si="5"/>
        <v>-60.762295964687603</v>
      </c>
      <c r="AS6" s="35">
        <f t="shared" si="6"/>
        <v>-0.42574387530582408</v>
      </c>
      <c r="AT6" s="35">
        <f t="shared" si="7"/>
        <v>0.64389061776399537</v>
      </c>
      <c r="AU6" s="16" t="e">
        <f t="shared" si="12"/>
        <v>#N/A</v>
      </c>
      <c r="AV6" s="35">
        <f t="shared" si="13"/>
        <v>11.633333333333335</v>
      </c>
      <c r="AW6" s="212">
        <f t="shared" si="14"/>
        <v>57.866666666666674</v>
      </c>
      <c r="AY6" s="29">
        <f t="shared" ref="AY6:AY37" si="37">AY5+0.5</f>
        <v>-0.5</v>
      </c>
      <c r="AZ6" s="3">
        <f t="shared" si="15"/>
        <v>10.217680608668887</v>
      </c>
      <c r="BA6" s="3">
        <f t="shared" si="16"/>
        <v>-18.525288370379474</v>
      </c>
      <c r="BB6" s="3">
        <f t="shared" si="17"/>
        <v>8.1665770227997978</v>
      </c>
      <c r="BC6" s="3">
        <f t="shared" si="18"/>
        <v>-20.499979194105574</v>
      </c>
      <c r="BD6" s="3" t="e">
        <f t="shared" si="19"/>
        <v>#N/A</v>
      </c>
      <c r="BE6" s="3">
        <f t="shared" si="20"/>
        <v>-36.734766250770896</v>
      </c>
      <c r="BF6" s="3">
        <f t="shared" si="21"/>
        <v>-30.129747398264051</v>
      </c>
      <c r="BG6" s="3">
        <f t="shared" si="22"/>
        <v>42.740989734257496</v>
      </c>
      <c r="BH6" s="3">
        <f t="shared" si="23"/>
        <v>-22.818337952578389</v>
      </c>
      <c r="BI6" s="3">
        <f t="shared" si="24"/>
        <v>57.027857377765542</v>
      </c>
      <c r="BJ6" s="3">
        <f t="shared" si="25"/>
        <v>16.009092613396618</v>
      </c>
      <c r="BK6" s="3" t="e">
        <f t="shared" si="26"/>
        <v>#N/A</v>
      </c>
      <c r="BL6" s="3">
        <f t="shared" si="27"/>
        <v>23.427985436104727</v>
      </c>
      <c r="BM6" s="3" t="e">
        <f t="shared" si="28"/>
        <v>#N/A</v>
      </c>
      <c r="BN6" s="3">
        <f t="shared" si="29"/>
        <v>4.4779783642317863</v>
      </c>
      <c r="BO6" s="3">
        <f t="shared" si="30"/>
        <v>15.821014826887204</v>
      </c>
      <c r="BP6" s="3">
        <f t="shared" si="31"/>
        <v>-14.444008055039395</v>
      </c>
      <c r="BQ6" s="3" t="e">
        <f t="shared" si="32"/>
        <v>#N/A</v>
      </c>
      <c r="BR6" s="3" t="e">
        <f t="shared" si="33"/>
        <v>#N/A</v>
      </c>
      <c r="BS6" s="3">
        <f t="shared" si="34"/>
        <v>-0.84194011085012443</v>
      </c>
      <c r="BT6" s="7">
        <f t="shared" si="35"/>
        <v>17.388824511758919</v>
      </c>
    </row>
    <row r="7" spans="1:72" ht="17" thickBot="1" x14ac:dyDescent="0.25">
      <c r="A7" s="31" t="s">
        <v>35</v>
      </c>
      <c r="B7" s="16">
        <f>INT(B8) + 100*MOD(B8,1)/60</f>
        <v>1.5666666666666669</v>
      </c>
      <c r="C7" s="14" t="s">
        <v>3</v>
      </c>
      <c r="P7" s="3"/>
      <c r="V7" s="24">
        <v>3</v>
      </c>
      <c r="W7" s="5" t="s">
        <v>300</v>
      </c>
      <c r="X7" s="5" t="s">
        <v>112</v>
      </c>
      <c r="Y7" s="5">
        <v>2</v>
      </c>
      <c r="Z7" s="5"/>
      <c r="AA7" s="159">
        <v>14.39</v>
      </c>
      <c r="AB7" s="159">
        <v>36.479999999999997</v>
      </c>
      <c r="AC7" s="34">
        <v>1.3</v>
      </c>
      <c r="AD7" s="34">
        <v>4</v>
      </c>
      <c r="AE7" s="18">
        <f t="shared" si="0"/>
        <v>-14.732802692650987</v>
      </c>
      <c r="AF7" s="96">
        <f t="shared" si="8"/>
        <v>12.637171279086328</v>
      </c>
      <c r="AG7" s="18" t="e">
        <f t="shared" si="9"/>
        <v>#N/A</v>
      </c>
      <c r="AH7" s="18" t="e">
        <f>IF(OR($AE$4&lt;0,AE7&lt;0),NA(),  Calcs!$B$62*10^(-0.4*Calcs!$B$63*_xlfn.SEC(RADIANS(90-$AE$4)))  *  (1 - 10^(-0.4*Calcs!$B$63*_xlfn.SEC(RADIANS(90-AE7))))  *  (  10^5.36 * (1.06+ (COS(RADIANS(AG7))^2)) + 10^(6.15 - AG7/40) )  )</f>
        <v>#N/A</v>
      </c>
      <c r="AI7" s="220" t="e">
        <f t="shared" si="10"/>
        <v>#N/A</v>
      </c>
      <c r="AJ7" s="65"/>
      <c r="AK7" s="238"/>
      <c r="AL7" s="46" t="e">
        <f t="shared" si="36"/>
        <v>#N/A</v>
      </c>
      <c r="AM7" s="220" t="e">
        <f t="shared" si="11"/>
        <v>#N/A</v>
      </c>
      <c r="AN7" s="65">
        <f t="shared" si="1"/>
        <v>-9.9371712790863285</v>
      </c>
      <c r="AO7" s="64">
        <f t="shared" si="2"/>
        <v>25.195851970681979</v>
      </c>
      <c r="AP7" s="65">
        <f t="shared" si="3"/>
        <v>11.503837945752995</v>
      </c>
      <c r="AQ7" s="64">
        <f t="shared" si="4"/>
        <v>85.9</v>
      </c>
      <c r="AR7" s="64">
        <f t="shared" si="5"/>
        <v>-26.576634483201065</v>
      </c>
      <c r="AS7" s="35" t="e">
        <f t="shared" si="6"/>
        <v>#N/A</v>
      </c>
      <c r="AT7" s="35" t="e">
        <f t="shared" si="7"/>
        <v>#N/A</v>
      </c>
      <c r="AU7" t="e">
        <f t="shared" si="12"/>
        <v>#N/A</v>
      </c>
      <c r="AV7" s="35">
        <f t="shared" si="13"/>
        <v>14.65</v>
      </c>
      <c r="AW7" s="212">
        <f t="shared" si="14"/>
        <v>36.799999999999997</v>
      </c>
      <c r="AY7" s="29">
        <f t="shared" si="37"/>
        <v>0</v>
      </c>
      <c r="AZ7" s="3">
        <f t="shared" si="15"/>
        <v>4.3719928023574637</v>
      </c>
      <c r="BA7" s="3">
        <f t="shared" si="16"/>
        <v>-15.922973448892597</v>
      </c>
      <c r="BB7" s="3">
        <f t="shared" si="17"/>
        <v>10.731077156023968</v>
      </c>
      <c r="BC7" s="3">
        <f t="shared" si="18"/>
        <v>-20.153154066982502</v>
      </c>
      <c r="BD7" s="3" t="e">
        <f t="shared" si="19"/>
        <v>#N/A</v>
      </c>
      <c r="BE7" s="3">
        <f t="shared" si="20"/>
        <v>-35.375924602079579</v>
      </c>
      <c r="BF7" s="3">
        <f t="shared" si="21"/>
        <v>-26.884066145616643</v>
      </c>
      <c r="BG7" s="3">
        <f t="shared" si="22"/>
        <v>46.250579678315333</v>
      </c>
      <c r="BH7" s="3">
        <f t="shared" si="23"/>
        <v>-17.299338722183506</v>
      </c>
      <c r="BI7" s="3">
        <f t="shared" si="24"/>
        <v>61.042627694452932</v>
      </c>
      <c r="BJ7" s="3">
        <f t="shared" si="25"/>
        <v>22.292669081441705</v>
      </c>
      <c r="BK7" s="3" t="e">
        <f t="shared" si="26"/>
        <v>#N/A</v>
      </c>
      <c r="BL7" s="3">
        <f t="shared" si="27"/>
        <v>28.654831178940796</v>
      </c>
      <c r="BM7" s="3" t="e">
        <f t="shared" si="28"/>
        <v>#N/A</v>
      </c>
      <c r="BN7" s="3">
        <f t="shared" si="29"/>
        <v>7.2838058925358782</v>
      </c>
      <c r="BO7" s="3">
        <f t="shared" si="30"/>
        <v>17.312968782122265</v>
      </c>
      <c r="BP7" s="3">
        <f t="shared" si="31"/>
        <v>-12.012447972583042</v>
      </c>
      <c r="BQ7" s="3" t="e">
        <f t="shared" si="32"/>
        <v>#N/A</v>
      </c>
      <c r="BR7" s="3" t="e">
        <f t="shared" si="33"/>
        <v>#N/A</v>
      </c>
      <c r="BS7" s="3">
        <f t="shared" si="34"/>
        <v>-0.42023759509742353</v>
      </c>
      <c r="BT7" s="7">
        <f t="shared" si="35"/>
        <v>15.933968435379221</v>
      </c>
    </row>
    <row r="8" spans="1:72" ht="17" thickBot="1" x14ac:dyDescent="0.25">
      <c r="A8" s="31" t="s">
        <v>35</v>
      </c>
      <c r="B8" s="198">
        <v>1.34</v>
      </c>
      <c r="C8" s="14" t="s">
        <v>141</v>
      </c>
      <c r="P8" s="3"/>
      <c r="V8" s="24">
        <v>4</v>
      </c>
      <c r="W8" s="36"/>
      <c r="X8" s="36"/>
      <c r="Y8" s="5"/>
      <c r="Z8" s="36"/>
      <c r="AA8" s="159"/>
      <c r="AB8" s="159"/>
      <c r="AC8" s="34"/>
      <c r="AD8" s="100"/>
      <c r="AE8" s="18" t="e">
        <f t="shared" si="0"/>
        <v>#N/A</v>
      </c>
      <c r="AF8" s="96" t="e">
        <f t="shared" si="8"/>
        <v>#N/A</v>
      </c>
      <c r="AG8" s="18" t="e">
        <f t="shared" si="9"/>
        <v>#N/A</v>
      </c>
      <c r="AH8" s="18" t="e">
        <f>IF(OR($AE$4&lt;0,AE8&lt;0),NA(),  Calcs!$B$62*10^(-0.4*Calcs!$B$63*_xlfn.SEC(RADIANS(90-$AE$4)))  *  (1 - 10^(-0.4*Calcs!$B$63*_xlfn.SEC(RADIANS(90-AE8))))  *  (  10^5.36 * (1.06+ (COS(RADIANS(AG8))^2)) + 10^(6.15 - AG8/40) )  )</f>
        <v>#N/A</v>
      </c>
      <c r="AI8" s="220" t="e">
        <f t="shared" si="10"/>
        <v>#N/A</v>
      </c>
      <c r="AJ8" s="65"/>
      <c r="AK8" s="238"/>
      <c r="AL8" s="46" t="e">
        <f t="shared" si="36"/>
        <v>#N/A</v>
      </c>
      <c r="AM8" s="220" t="e">
        <f t="shared" si="11"/>
        <v>#N/A</v>
      </c>
      <c r="AN8" s="65" t="e">
        <f t="shared" si="1"/>
        <v>#N/A</v>
      </c>
      <c r="AO8" s="64" t="e">
        <f t="shared" si="2"/>
        <v>#N/A</v>
      </c>
      <c r="AP8" s="65" t="e">
        <f t="shared" si="3"/>
        <v>#N/A</v>
      </c>
      <c r="AQ8" s="64" t="e">
        <f t="shared" si="4"/>
        <v>#N/A</v>
      </c>
      <c r="AR8" s="64" t="e">
        <f t="shared" si="5"/>
        <v>#N/A</v>
      </c>
      <c r="AS8" s="35" t="e">
        <f t="shared" si="6"/>
        <v>#N/A</v>
      </c>
      <c r="AT8" s="35" t="e">
        <f t="shared" si="7"/>
        <v>#N/A</v>
      </c>
      <c r="AU8" t="e">
        <f t="shared" si="12"/>
        <v>#N/A</v>
      </c>
      <c r="AV8" s="35" t="e">
        <f t="shared" si="13"/>
        <v>#N/A</v>
      </c>
      <c r="AW8" s="212" t="e">
        <f t="shared" si="14"/>
        <v>#N/A</v>
      </c>
      <c r="AY8" s="29">
        <f t="shared" si="37"/>
        <v>0.5</v>
      </c>
      <c r="AZ8" s="3">
        <f t="shared" si="15"/>
        <v>-1.6329306079357193</v>
      </c>
      <c r="BA8" s="3">
        <f t="shared" si="16"/>
        <v>-12.767330485112046</v>
      </c>
      <c r="BB8" s="3">
        <f t="shared" si="17"/>
        <v>13.590992213491344</v>
      </c>
      <c r="BC8" s="3">
        <f t="shared" si="18"/>
        <v>-19.112393125431886</v>
      </c>
      <c r="BD8" s="3" t="e">
        <f t="shared" si="19"/>
        <v>#N/A</v>
      </c>
      <c r="BE8" s="3">
        <f t="shared" si="20"/>
        <v>-33.139244606439583</v>
      </c>
      <c r="BF8" s="3">
        <f t="shared" si="21"/>
        <v>-23.029888077678617</v>
      </c>
      <c r="BG8" s="3">
        <f t="shared" si="22"/>
        <v>48.816526785566701</v>
      </c>
      <c r="BH8" s="3">
        <f t="shared" si="23"/>
        <v>-11.537386492773786</v>
      </c>
      <c r="BI8" s="3">
        <f t="shared" si="24"/>
        <v>64.611099710494642</v>
      </c>
      <c r="BJ8" s="3">
        <f t="shared" si="25"/>
        <v>28.600981857965639</v>
      </c>
      <c r="BK8" s="3" t="e">
        <f t="shared" si="26"/>
        <v>#N/A</v>
      </c>
      <c r="BL8" s="3">
        <f t="shared" si="27"/>
        <v>34.01221031261889</v>
      </c>
      <c r="BM8" s="3" t="e">
        <f t="shared" si="28"/>
        <v>#N/A</v>
      </c>
      <c r="BN8" s="3">
        <f t="shared" si="29"/>
        <v>10.414137938722</v>
      </c>
      <c r="BO8" s="3">
        <f t="shared" si="30"/>
        <v>19.033665621454553</v>
      </c>
      <c r="BP8" s="3">
        <f t="shared" si="31"/>
        <v>-9.0570332485533385</v>
      </c>
      <c r="BQ8" s="3" t="e">
        <f t="shared" si="32"/>
        <v>#N/A</v>
      </c>
      <c r="BR8" s="3" t="e">
        <f t="shared" si="33"/>
        <v>#N/A</v>
      </c>
      <c r="BS8" s="3">
        <f t="shared" si="34"/>
        <v>0.44985641318339015</v>
      </c>
      <c r="BT8" s="7">
        <f t="shared" si="35"/>
        <v>14.725496763795855</v>
      </c>
    </row>
    <row r="9" spans="1:72" ht="17" thickBot="1" x14ac:dyDescent="0.25">
      <c r="A9" s="8"/>
      <c r="B9" s="197"/>
      <c r="C9" s="15"/>
      <c r="D9" s="1"/>
      <c r="V9" s="24">
        <v>5</v>
      </c>
      <c r="W9" s="51" t="s">
        <v>290</v>
      </c>
      <c r="X9" s="52" t="s">
        <v>115</v>
      </c>
      <c r="Y9" s="364">
        <v>1</v>
      </c>
      <c r="Z9" s="52"/>
      <c r="AA9" s="365">
        <v>14.11</v>
      </c>
      <c r="AB9" s="365">
        <v>20.09</v>
      </c>
      <c r="AC9" s="53">
        <v>2.4</v>
      </c>
      <c r="AD9" s="53">
        <v>3.6</v>
      </c>
      <c r="AE9" s="18">
        <f t="shared" si="0"/>
        <v>-25.907500358015742</v>
      </c>
      <c r="AF9" s="96">
        <f t="shared" si="8"/>
        <v>10.670504612419659</v>
      </c>
      <c r="AG9" s="18" t="e">
        <f t="shared" si="9"/>
        <v>#N/A</v>
      </c>
      <c r="AH9" s="18" t="e">
        <f>IF(OR($AE$4&lt;0,AE9&lt;0),NA(),  Calcs!$B$62*10^(-0.4*Calcs!$B$63*_xlfn.SEC(RADIANS(90-$AE$4)))  *  (1 - 10^(-0.4*Calcs!$B$63*_xlfn.SEC(RADIANS(90-AE9))))  *  (  10^5.36 * (1.06+ (COS(RADIANS(AG9))^2)) + 10^(6.15 - AG9/40) )  )</f>
        <v>#N/A</v>
      </c>
      <c r="AI9" s="220" t="e">
        <f t="shared" si="10"/>
        <v>#N/A</v>
      </c>
      <c r="AJ9" s="65"/>
      <c r="AK9" s="238">
        <v>40</v>
      </c>
      <c r="AL9" s="46">
        <f t="shared" si="36"/>
        <v>1.5557238268604126</v>
      </c>
      <c r="AM9" s="220">
        <f t="shared" si="11"/>
        <v>3.6456265273018738</v>
      </c>
      <c r="AN9" s="65">
        <f t="shared" si="1"/>
        <v>-9.4705046124196599</v>
      </c>
      <c r="AO9" s="64">
        <f t="shared" si="2"/>
        <v>39.920874426965717</v>
      </c>
      <c r="AP9" s="65">
        <f t="shared" si="3"/>
        <v>11.037171279086326</v>
      </c>
      <c r="AQ9" s="64">
        <f t="shared" si="4"/>
        <v>77.449999999999989</v>
      </c>
      <c r="AR9" s="64">
        <f t="shared" si="5"/>
        <v>-35.115701823061436</v>
      </c>
      <c r="AS9" s="35" t="e">
        <f t="shared" si="6"/>
        <v>#N/A</v>
      </c>
      <c r="AT9" s="35" t="e">
        <f t="shared" si="7"/>
        <v>#N/A</v>
      </c>
      <c r="AU9" t="e">
        <f t="shared" si="12"/>
        <v>#N/A</v>
      </c>
      <c r="AV9" s="35">
        <f t="shared" si="13"/>
        <v>14.183333333333332</v>
      </c>
      <c r="AW9" s="212">
        <f t="shared" si="14"/>
        <v>20.149999999999999</v>
      </c>
      <c r="AY9" s="29">
        <f t="shared" si="37"/>
        <v>1</v>
      </c>
      <c r="AZ9" s="3">
        <f t="shared" si="15"/>
        <v>-7.7587954851544456</v>
      </c>
      <c r="BA9" s="3">
        <f t="shared" si="16"/>
        <v>-9.1244214256655045</v>
      </c>
      <c r="BB9" s="3">
        <f t="shared" si="17"/>
        <v>16.713486449668505</v>
      </c>
      <c r="BC9" s="3">
        <f t="shared" si="18"/>
        <v>-17.408019707094589</v>
      </c>
      <c r="BD9" s="3" t="e">
        <f t="shared" si="19"/>
        <v>#N/A</v>
      </c>
      <c r="BE9" s="3">
        <f t="shared" si="20"/>
        <v>-30.124101844082386</v>
      </c>
      <c r="BF9" s="3">
        <f t="shared" si="21"/>
        <v>-18.6675729776839</v>
      </c>
      <c r="BG9" s="3">
        <f t="shared" si="22"/>
        <v>50.252496798231469</v>
      </c>
      <c r="BH9" s="3">
        <f t="shared" si="23"/>
        <v>-5.589860710795536</v>
      </c>
      <c r="BI9" s="3">
        <f t="shared" si="24"/>
        <v>67.482607409669384</v>
      </c>
      <c r="BJ9" s="3">
        <f t="shared" si="25"/>
        <v>34.903575055378809</v>
      </c>
      <c r="BK9" s="3" t="e">
        <f t="shared" si="26"/>
        <v>#N/A</v>
      </c>
      <c r="BL9" s="3">
        <f t="shared" si="27"/>
        <v>39.47512811308917</v>
      </c>
      <c r="BM9" s="3" t="e">
        <f t="shared" si="28"/>
        <v>#N/A</v>
      </c>
      <c r="BN9" s="3">
        <f t="shared" si="29"/>
        <v>13.832549109210939</v>
      </c>
      <c r="BO9" s="3">
        <f t="shared" si="30"/>
        <v>20.961651053972655</v>
      </c>
      <c r="BP9" s="3">
        <f t="shared" si="31"/>
        <v>-5.6344589713931077</v>
      </c>
      <c r="BQ9" s="3" t="e">
        <f t="shared" si="32"/>
        <v>#N/A</v>
      </c>
      <c r="BR9" s="3" t="e">
        <f t="shared" si="33"/>
        <v>#N/A</v>
      </c>
      <c r="BS9" s="3">
        <f t="shared" si="34"/>
        <v>1.7537334641355524</v>
      </c>
      <c r="BT9" s="7">
        <f t="shared" si="35"/>
        <v>13.779130979769088</v>
      </c>
    </row>
    <row r="10" spans="1:72" ht="17" thickBot="1" x14ac:dyDescent="0.25">
      <c r="V10" s="24">
        <v>6</v>
      </c>
      <c r="W10" s="5" t="s">
        <v>240</v>
      </c>
      <c r="X10" s="5" t="s">
        <v>244</v>
      </c>
      <c r="Y10" s="5">
        <v>1</v>
      </c>
      <c r="Z10" s="5"/>
      <c r="AA10" s="159">
        <v>12.57</v>
      </c>
      <c r="AB10" s="159">
        <v>22.01</v>
      </c>
      <c r="AC10" s="34">
        <v>0.5</v>
      </c>
      <c r="AD10" s="34"/>
      <c r="AE10" s="18">
        <f t="shared" si="0"/>
        <v>-13.221735895225329</v>
      </c>
      <c r="AF10" s="96">
        <f t="shared" si="8"/>
        <v>7.7371712790863292</v>
      </c>
      <c r="AG10" s="18" t="e">
        <f t="shared" si="9"/>
        <v>#N/A</v>
      </c>
      <c r="AH10" s="18" t="e">
        <f>IF(OR($AE$4&lt;0,AE10&lt;0),NA(),  Calcs!$B$62*10^(-0.4*Calcs!$B$63*_xlfn.SEC(RADIANS(90-$AE$4)))  *  (1 - 10^(-0.4*Calcs!$B$63*_xlfn.SEC(RADIANS(90-AE10))))  *  (  10^5.36 * (1.06+ (COS(RADIANS(AG10))^2)) + 10^(6.15 - AG10/40) )  )</f>
        <v>#N/A</v>
      </c>
      <c r="AI10" s="220" t="e">
        <f t="shared" si="10"/>
        <v>#N/A</v>
      </c>
      <c r="AJ10" s="65"/>
      <c r="AK10" s="238"/>
      <c r="AL10" s="46" t="e">
        <f t="shared" si="36"/>
        <v>#N/A</v>
      </c>
      <c r="AM10" s="220" t="e">
        <f t="shared" si="11"/>
        <v>#N/A</v>
      </c>
      <c r="AN10" s="65">
        <f t="shared" si="1"/>
        <v>-8.2371712790863292</v>
      </c>
      <c r="AO10" s="64">
        <f t="shared" si="2"/>
        <v>52.522896194806499</v>
      </c>
      <c r="AP10" s="65">
        <f t="shared" si="3"/>
        <v>9.8038379457529956</v>
      </c>
      <c r="AQ10" s="64">
        <f t="shared" si="4"/>
        <v>79.316666666666691</v>
      </c>
      <c r="AR10" s="64">
        <f t="shared" si="5"/>
        <v>-46.083534751214522</v>
      </c>
      <c r="AS10" s="35" t="e">
        <f t="shared" si="6"/>
        <v>#N/A</v>
      </c>
      <c r="AT10" s="35" t="e">
        <f t="shared" si="7"/>
        <v>#N/A</v>
      </c>
      <c r="AU10" t="e">
        <f t="shared" si="12"/>
        <v>#N/A</v>
      </c>
      <c r="AV10" s="35">
        <f t="shared" si="13"/>
        <v>12.950000000000001</v>
      </c>
      <c r="AW10" s="212">
        <f t="shared" si="14"/>
        <v>22.016666666666669</v>
      </c>
      <c r="AY10" s="29">
        <f t="shared" si="37"/>
        <v>1.5</v>
      </c>
      <c r="AZ10" s="3">
        <f t="shared" si="15"/>
        <v>-13.973118424042072</v>
      </c>
      <c r="BA10" s="3">
        <f t="shared" si="16"/>
        <v>-5.0584624613054112</v>
      </c>
      <c r="BB10" s="3">
        <f t="shared" si="17"/>
        <v>20.065221691625371</v>
      </c>
      <c r="BC10" s="3">
        <f t="shared" si="18"/>
        <v>-15.0861012148893</v>
      </c>
      <c r="BD10" s="3" t="e">
        <f t="shared" si="19"/>
        <v>#N/A</v>
      </c>
      <c r="BE10" s="3">
        <f t="shared" si="20"/>
        <v>-26.44267252273778</v>
      </c>
      <c r="BF10" s="3">
        <f t="shared" si="21"/>
        <v>-13.886577532341244</v>
      </c>
      <c r="BG10" s="3">
        <f t="shared" si="22"/>
        <v>50.433619178831158</v>
      </c>
      <c r="BH10" s="3">
        <f t="shared" si="23"/>
        <v>0.49746051480167275</v>
      </c>
      <c r="BI10" s="3">
        <f t="shared" si="24"/>
        <v>69.336156775232084</v>
      </c>
      <c r="BJ10" s="3">
        <f t="shared" si="25"/>
        <v>41.163390459302605</v>
      </c>
      <c r="BK10" s="3" t="e">
        <f t="shared" si="26"/>
        <v>#N/A</v>
      </c>
      <c r="BL10" s="3">
        <f t="shared" si="27"/>
        <v>45.019385384368462</v>
      </c>
      <c r="BM10" s="3" t="e">
        <f t="shared" si="28"/>
        <v>#N/A</v>
      </c>
      <c r="BN10" s="3">
        <f t="shared" si="29"/>
        <v>17.503024157929111</v>
      </c>
      <c r="BO10" s="3">
        <f t="shared" si="30"/>
        <v>23.073273001331703</v>
      </c>
      <c r="BP10" s="3">
        <f t="shared" si="31"/>
        <v>-1.80106829706972</v>
      </c>
      <c r="BQ10" s="3" t="e">
        <f t="shared" si="32"/>
        <v>#N/A</v>
      </c>
      <c r="BR10" s="3" t="e">
        <f t="shared" si="33"/>
        <v>#N/A</v>
      </c>
      <c r="BS10" s="3">
        <f t="shared" si="34"/>
        <v>3.4704062292572373</v>
      </c>
      <c r="BT10" s="7">
        <f t="shared" si="35"/>
        <v>13.107415434068809</v>
      </c>
    </row>
    <row r="11" spans="1:72" x14ac:dyDescent="0.2">
      <c r="A11" s="304" t="s">
        <v>69</v>
      </c>
      <c r="B11" s="305"/>
      <c r="C11" s="306"/>
      <c r="V11" s="24">
        <v>7</v>
      </c>
      <c r="W11" s="51" t="s">
        <v>301</v>
      </c>
      <c r="X11" s="52" t="s">
        <v>112</v>
      </c>
      <c r="Y11" s="366">
        <v>1</v>
      </c>
      <c r="Z11" s="52"/>
      <c r="AA11" s="365">
        <v>4.28</v>
      </c>
      <c r="AB11" s="365">
        <v>-6.47</v>
      </c>
      <c r="AC11" s="53">
        <v>1.3</v>
      </c>
      <c r="AD11" s="53">
        <v>4</v>
      </c>
      <c r="AE11" s="18">
        <f t="shared" si="0"/>
        <v>50.360619199693645</v>
      </c>
      <c r="AF11" s="96">
        <f t="shared" si="8"/>
        <v>2.4538379457529946</v>
      </c>
      <c r="AG11" s="18" t="e">
        <f t="shared" si="9"/>
        <v>#N/A</v>
      </c>
      <c r="AH11" s="18" t="e">
        <f>IF(OR($AE$4&lt;0,AE11&lt;0),NA(),  Calcs!$B$62*10^(-0.4*Calcs!$B$63*_xlfn.SEC(RADIANS(90-$AE$4)))  *  (1 - 10^(-0.4*Calcs!$B$63*_xlfn.SEC(RADIANS(90-AE11))))  *  (  10^5.36 * (1.06+ (COS(RADIANS(AG11))^2)) + 10^(6.15 - AG11/40) )  )</f>
        <v>#N/A</v>
      </c>
      <c r="AI11" s="220" t="e">
        <f t="shared" si="10"/>
        <v>#N/A</v>
      </c>
      <c r="AJ11" s="65"/>
      <c r="AK11" s="238"/>
      <c r="AL11" s="46" t="e">
        <f t="shared" si="36"/>
        <v>#N/A</v>
      </c>
      <c r="AM11" s="220" t="e">
        <f t="shared" si="11"/>
        <v>#N/A</v>
      </c>
      <c r="AN11" s="65">
        <f t="shared" si="1"/>
        <v>0.2461620542470051</v>
      </c>
      <c r="AO11" s="64">
        <f t="shared" si="2"/>
        <v>185.75310054372775</v>
      </c>
      <c r="AP11" s="65">
        <f t="shared" si="3"/>
        <v>1.3205046124196613</v>
      </c>
      <c r="AQ11" s="64">
        <f t="shared" si="4"/>
        <v>50.51666666666668</v>
      </c>
      <c r="AR11" s="64">
        <f t="shared" si="5"/>
        <v>4.8731091856729156</v>
      </c>
      <c r="AS11" s="35">
        <f t="shared" si="6"/>
        <v>4.4150300002679436E-2</v>
      </c>
      <c r="AT11" s="35">
        <f t="shared" si="7"/>
        <v>-0.43821912234226612</v>
      </c>
      <c r="AU11">
        <f t="shared" si="12"/>
        <v>2.4538379457529946</v>
      </c>
      <c r="AV11" s="35">
        <f t="shared" si="13"/>
        <v>4.4666666666666668</v>
      </c>
      <c r="AW11" s="212">
        <f t="shared" si="14"/>
        <v>-6.7833333333333332</v>
      </c>
      <c r="AY11" s="29">
        <f t="shared" si="37"/>
        <v>2</v>
      </c>
      <c r="AZ11" s="3">
        <f t="shared" si="15"/>
        <v>-20.2468407919676</v>
      </c>
      <c r="BA11" s="3">
        <f t="shared" si="16"/>
        <v>-0.62894167905859977</v>
      </c>
      <c r="BB11" s="3">
        <f t="shared" si="17"/>
        <v>23.612599519443901</v>
      </c>
      <c r="BC11" s="3">
        <f t="shared" si="18"/>
        <v>-12.202988130480408</v>
      </c>
      <c r="BD11" s="3" t="e">
        <f t="shared" si="19"/>
        <v>#N/A</v>
      </c>
      <c r="BE11" s="3">
        <f t="shared" si="20"/>
        <v>-22.205286047592335</v>
      </c>
      <c r="BF11" s="3">
        <f t="shared" si="21"/>
        <v>-8.7632933735380192</v>
      </c>
      <c r="BG11" s="3">
        <f t="shared" si="22"/>
        <v>49.342923908501724</v>
      </c>
      <c r="BH11" s="3">
        <f t="shared" si="23"/>
        <v>6.6869462417455221</v>
      </c>
      <c r="BI11" s="3">
        <f t="shared" si="24"/>
        <v>69.871875432916141</v>
      </c>
      <c r="BJ11" s="3">
        <f t="shared" si="25"/>
        <v>47.330016788270491</v>
      </c>
      <c r="BK11" s="3" t="e">
        <f t="shared" si="26"/>
        <v>#N/A</v>
      </c>
      <c r="BL11" s="3">
        <f t="shared" si="27"/>
        <v>50.61979036983417</v>
      </c>
      <c r="BM11" s="3" t="e">
        <f t="shared" si="28"/>
        <v>#N/A</v>
      </c>
      <c r="BN11" s="3">
        <f t="shared" si="29"/>
        <v>21.39033448523195</v>
      </c>
      <c r="BO11" s="3">
        <f t="shared" si="30"/>
        <v>25.342861455291548</v>
      </c>
      <c r="BP11" s="3">
        <f t="shared" si="31"/>
        <v>2.3897217544288121</v>
      </c>
      <c r="BQ11" s="3" t="e">
        <f t="shared" si="32"/>
        <v>#N/A</v>
      </c>
      <c r="BR11" s="3" t="e">
        <f t="shared" si="33"/>
        <v>#N/A</v>
      </c>
      <c r="BS11" s="3">
        <f t="shared" si="34"/>
        <v>5.5737727175146388</v>
      </c>
      <c r="BT11" s="7">
        <f t="shared" si="35"/>
        <v>12.719392231434881</v>
      </c>
    </row>
    <row r="12" spans="1:72" x14ac:dyDescent="0.2">
      <c r="A12" s="31" t="s">
        <v>18</v>
      </c>
      <c r="B12" s="16">
        <f>INT(Calcs!B33) + MOD(Calcs!B33,1)*60/100</f>
        <v>1.1486350050189906</v>
      </c>
      <c r="C12" s="14" t="s">
        <v>141</v>
      </c>
      <c r="V12" s="24">
        <v>8</v>
      </c>
      <c r="W12" s="367" t="s">
        <v>302</v>
      </c>
      <c r="X12" s="368" t="s">
        <v>112</v>
      </c>
      <c r="Y12" s="366">
        <v>2</v>
      </c>
      <c r="Z12" s="368"/>
      <c r="AA12" s="369">
        <v>11.06</v>
      </c>
      <c r="AB12" s="369">
        <v>11.22</v>
      </c>
      <c r="AC12" s="370">
        <v>1.3</v>
      </c>
      <c r="AD12" s="370">
        <v>4</v>
      </c>
      <c r="AE12" s="18">
        <f t="shared" si="0"/>
        <v>1.3175711579851976</v>
      </c>
      <c r="AF12" s="96">
        <f t="shared" si="8"/>
        <v>9.0871712790863288</v>
      </c>
      <c r="AG12" s="18" t="e">
        <f t="shared" si="9"/>
        <v>#N/A</v>
      </c>
      <c r="AH12" s="18" t="e">
        <f>IF(OR($AE$4&lt;0,AE12&lt;0),NA(),  Calcs!$B$62*10^(-0.4*Calcs!$B$63*_xlfn.SEC(RADIANS(90-$AE$4)))  *  (1 - 10^(-0.4*Calcs!$B$63*_xlfn.SEC(RADIANS(90-AE12))))  *  (  10^5.36 * (1.06+ (COS(RADIANS(AG12))^2)) + 10^(6.15 - AG12/40) )  )</f>
        <v>#N/A</v>
      </c>
      <c r="AI12" s="220" t="e">
        <f t="shared" si="10"/>
        <v>#N/A</v>
      </c>
      <c r="AJ12" s="65"/>
      <c r="AK12" s="238"/>
      <c r="AL12" s="46" t="e">
        <f t="shared" si="36"/>
        <v>#N/A</v>
      </c>
      <c r="AM12" s="220" t="e">
        <f t="shared" si="11"/>
        <v>#N/A</v>
      </c>
      <c r="AN12" s="65">
        <f t="shared" si="1"/>
        <v>-6.3871712790863295</v>
      </c>
      <c r="AO12" s="64">
        <f t="shared" si="2"/>
        <v>77.320194384203319</v>
      </c>
      <c r="AP12" s="65">
        <f t="shared" si="3"/>
        <v>7.953837945752996</v>
      </c>
      <c r="AQ12" s="64">
        <f t="shared" si="4"/>
        <v>68.666666666666671</v>
      </c>
      <c r="AR12" s="64">
        <f t="shared" si="5"/>
        <v>-56.867939671476798</v>
      </c>
      <c r="AS12" s="35">
        <f t="shared" si="6"/>
        <v>-0.96132932342294874</v>
      </c>
      <c r="AT12" s="35">
        <f t="shared" si="7"/>
        <v>0.21628891112970083</v>
      </c>
      <c r="AU12" t="e">
        <f t="shared" si="12"/>
        <v>#N/A</v>
      </c>
      <c r="AV12" s="35">
        <f t="shared" si="13"/>
        <v>11.100000000000001</v>
      </c>
      <c r="AW12" s="212">
        <f t="shared" si="14"/>
        <v>11.366666666666667</v>
      </c>
      <c r="AY12" s="29">
        <f t="shared" si="37"/>
        <v>2.5</v>
      </c>
      <c r="AZ12" s="3">
        <f t="shared" si="15"/>
        <v>-26.551971561349109</v>
      </c>
      <c r="BA12" s="3">
        <f t="shared" si="16"/>
        <v>4.1108385445009112</v>
      </c>
      <c r="BB12" s="3">
        <f t="shared" si="17"/>
        <v>27.321668288192601</v>
      </c>
      <c r="BC12" s="3">
        <f t="shared" si="18"/>
        <v>-8.8198023884109471</v>
      </c>
      <c r="BD12" s="3" t="e">
        <f t="shared" si="19"/>
        <v>#N/A</v>
      </c>
      <c r="BE12" s="3">
        <f t="shared" si="20"/>
        <v>-17.511641953577509</v>
      </c>
      <c r="BF12" s="3">
        <f t="shared" si="21"/>
        <v>-3.3613359954867694</v>
      </c>
      <c r="BG12" s="3">
        <f t="shared" si="22"/>
        <v>47.078391075070428</v>
      </c>
      <c r="BH12" s="3">
        <f t="shared" si="23"/>
        <v>12.946204550146815</v>
      </c>
      <c r="BI12" s="3">
        <f t="shared" si="24"/>
        <v>68.984459850529959</v>
      </c>
      <c r="BJ12" s="3">
        <f t="shared" si="25"/>
        <v>53.32747619403122</v>
      </c>
      <c r="BK12" s="3" t="e">
        <f t="shared" si="26"/>
        <v>#N/A</v>
      </c>
      <c r="BL12" s="3">
        <f t="shared" si="27"/>
        <v>56.247050068142293</v>
      </c>
      <c r="BM12" s="3" t="e">
        <f t="shared" si="28"/>
        <v>#N/A</v>
      </c>
      <c r="BN12" s="3">
        <f t="shared" si="29"/>
        <v>25.46003411346646</v>
      </c>
      <c r="BO12" s="3">
        <f t="shared" si="30"/>
        <v>27.742784830541684</v>
      </c>
      <c r="BP12" s="3">
        <f t="shared" si="31"/>
        <v>6.8889175263099345</v>
      </c>
      <c r="BQ12" s="3" t="e">
        <f t="shared" si="32"/>
        <v>#N/A</v>
      </c>
      <c r="BR12" s="3" t="e">
        <f t="shared" si="33"/>
        <v>#N/A</v>
      </c>
      <c r="BS12" s="3">
        <f t="shared" si="34"/>
        <v>8.0339883459502275</v>
      </c>
      <c r="BT12" s="7">
        <f t="shared" si="35"/>
        <v>12.620340839543855</v>
      </c>
    </row>
    <row r="13" spans="1:72" x14ac:dyDescent="0.2">
      <c r="A13" s="31" t="s">
        <v>21</v>
      </c>
      <c r="B13" s="16">
        <f>INT(Calcs!B34) + MOD(Calcs!B34,1)*60/100</f>
        <v>2.081225523111911</v>
      </c>
      <c r="C13" s="14" t="s">
        <v>141</v>
      </c>
      <c r="V13" s="24">
        <v>9</v>
      </c>
      <c r="W13" s="51" t="s">
        <v>243</v>
      </c>
      <c r="X13" s="52" t="s">
        <v>244</v>
      </c>
      <c r="Y13" s="51">
        <v>1</v>
      </c>
      <c r="Z13" s="52"/>
      <c r="AA13" s="159">
        <v>5.05</v>
      </c>
      <c r="AB13" s="159">
        <v>52.49</v>
      </c>
      <c r="AC13" s="53">
        <v>0.5</v>
      </c>
      <c r="AD13" s="53"/>
      <c r="AE13" s="18">
        <f t="shared" si="0"/>
        <v>69.488781887466416</v>
      </c>
      <c r="AF13" s="96">
        <f t="shared" si="8"/>
        <v>-0.12949538758033929</v>
      </c>
      <c r="AG13" s="18" t="e">
        <f t="shared" si="9"/>
        <v>#N/A</v>
      </c>
      <c r="AH13" s="18" t="e">
        <f>IF(OR($AE$4&lt;0,AE13&lt;0),NA(),  Calcs!$B$62*10^(-0.4*Calcs!$B$63*_xlfn.SEC(RADIANS(90-$AE$4)))  *  (1 - 10^(-0.4*Calcs!$B$63*_xlfn.SEC(RADIANS(90-AE13))))  *  (  10^5.36 * (1.06+ (COS(RADIANS(AG13))^2)) + 10^(6.15 - AG13/40) )  )</f>
        <v>#N/A</v>
      </c>
      <c r="AI13" s="220" t="e">
        <f t="shared" si="10"/>
        <v>#N/A</v>
      </c>
      <c r="AJ13" s="65"/>
      <c r="AK13" s="238"/>
      <c r="AL13" s="46" t="e">
        <f t="shared" si="36"/>
        <v>#N/A</v>
      </c>
      <c r="AM13" s="220" t="e">
        <f t="shared" si="11"/>
        <v>#N/A</v>
      </c>
      <c r="AN13" s="65">
        <f t="shared" si="1"/>
        <v>-0.37050461241966115</v>
      </c>
      <c r="AO13" s="64">
        <f t="shared" si="2"/>
        <v>9.6159617068012633</v>
      </c>
      <c r="AP13" s="65">
        <f t="shared" si="3"/>
        <v>1.9371712790863276</v>
      </c>
      <c r="AQ13" s="64">
        <f t="shared" si="4"/>
        <v>69.883333333333326</v>
      </c>
      <c r="AR13" s="64">
        <f t="shared" si="5"/>
        <v>-166.55049047636601</v>
      </c>
      <c r="AS13" s="35">
        <f t="shared" si="6"/>
        <v>-3.8069600993936636E-2</v>
      </c>
      <c r="AT13" s="35">
        <f t="shared" si="7"/>
        <v>0.22470028950770102</v>
      </c>
      <c r="AU13" t="e">
        <f t="shared" si="12"/>
        <v>#N/A</v>
      </c>
      <c r="AV13" s="35">
        <f t="shared" si="13"/>
        <v>5.083333333333333</v>
      </c>
      <c r="AW13" s="212">
        <f t="shared" si="14"/>
        <v>52.81666666666667</v>
      </c>
      <c r="AY13" s="29">
        <f t="shared" si="37"/>
        <v>3</v>
      </c>
      <c r="AZ13" s="3">
        <f t="shared" si="15"/>
        <v>-32.858876431809172</v>
      </c>
      <c r="BA13" s="3">
        <f t="shared" si="16"/>
        <v>9.1141817740874735</v>
      </c>
      <c r="BB13" s="3">
        <f t="shared" si="17"/>
        <v>31.157668751580719</v>
      </c>
      <c r="BC13" s="3">
        <f t="shared" si="18"/>
        <v>-4.997848490457824</v>
      </c>
      <c r="BD13" s="3" t="e">
        <f t="shared" si="19"/>
        <v>#N/A</v>
      </c>
      <c r="BE13" s="3">
        <f t="shared" si="20"/>
        <v>-12.447223365424982</v>
      </c>
      <c r="BF13" s="3">
        <f t="shared" si="21"/>
        <v>2.2669649134737533</v>
      </c>
      <c r="BG13" s="3">
        <f t="shared" si="22"/>
        <v>43.814685319223919</v>
      </c>
      <c r="BH13" s="3">
        <f t="shared" si="23"/>
        <v>19.245485102109349</v>
      </c>
      <c r="BI13" s="3">
        <f t="shared" si="24"/>
        <v>66.843368629443049</v>
      </c>
      <c r="BJ13" s="3">
        <f t="shared" si="25"/>
        <v>59.030664994759896</v>
      </c>
      <c r="BK13" s="3" t="e">
        <f t="shared" si="26"/>
        <v>#N/A</v>
      </c>
      <c r="BL13" s="3">
        <f t="shared" si="27"/>
        <v>61.8614733374351</v>
      </c>
      <c r="BM13" s="3" t="e">
        <f t="shared" si="28"/>
        <v>#N/A</v>
      </c>
      <c r="BN13" s="3">
        <f t="shared" si="29"/>
        <v>29.678077566196546</v>
      </c>
      <c r="BO13" s="3">
        <f t="shared" si="30"/>
        <v>30.24336362362002</v>
      </c>
      <c r="BP13" s="3">
        <f t="shared" si="31"/>
        <v>11.652588094511904</v>
      </c>
      <c r="BQ13" s="3" t="e">
        <f t="shared" si="32"/>
        <v>#N/A</v>
      </c>
      <c r="BR13" s="3" t="e">
        <f t="shared" si="33"/>
        <v>#N/A</v>
      </c>
      <c r="BS13" s="3">
        <f t="shared" si="34"/>
        <v>10.818769451569963</v>
      </c>
      <c r="BT13" s="7">
        <f t="shared" si="35"/>
        <v>12.811615816795198</v>
      </c>
    </row>
    <row r="14" spans="1:72" x14ac:dyDescent="0.2">
      <c r="A14" s="31" t="s">
        <v>20</v>
      </c>
      <c r="B14" s="16">
        <f>INT(Calcs!B35) + MOD(Calcs!B35,1)*60/100</f>
        <v>2.3664857217310047</v>
      </c>
      <c r="C14" s="14" t="s">
        <v>141</v>
      </c>
      <c r="V14" s="24">
        <v>10</v>
      </c>
      <c r="W14" s="51" t="s">
        <v>303</v>
      </c>
      <c r="X14" s="52" t="s">
        <v>112</v>
      </c>
      <c r="Y14" s="51">
        <v>2</v>
      </c>
      <c r="Z14" s="52"/>
      <c r="AA14" s="159">
        <v>7.59</v>
      </c>
      <c r="AB14" s="159">
        <v>14.29</v>
      </c>
      <c r="AC14" s="53">
        <v>1.7</v>
      </c>
      <c r="AD14" s="53">
        <v>3</v>
      </c>
      <c r="AE14" s="18">
        <f t="shared" si="0"/>
        <v>41.992318258227286</v>
      </c>
      <c r="AF14" s="96">
        <f t="shared" si="8"/>
        <v>4.5705046124196613</v>
      </c>
      <c r="AG14" s="18" t="e">
        <f t="shared" si="9"/>
        <v>#N/A</v>
      </c>
      <c r="AH14" s="18" t="e">
        <f>IF(OR($AE$4&lt;0,AE14&lt;0),NA(),  Calcs!$B$62*10^(-0.4*Calcs!$B$63*_xlfn.SEC(RADIANS(90-$AE$4)))  *  (1 - 10^(-0.4*Calcs!$B$63*_xlfn.SEC(RADIANS(90-AE14))))  *  (  10^5.36 * (1.06+ (COS(RADIANS(AG14))^2)) + 10^(6.15 - AG14/40) )  )</f>
        <v>#N/A</v>
      </c>
      <c r="AI14" s="220" t="e">
        <f t="shared" si="10"/>
        <v>#N/A</v>
      </c>
      <c r="AJ14" s="65"/>
      <c r="AK14" s="238">
        <v>45</v>
      </c>
      <c r="AL14" s="46">
        <f t="shared" si="36"/>
        <v>1.4142135623730951</v>
      </c>
      <c r="AM14" s="220">
        <f t="shared" si="11"/>
        <v>3.0273134047373134</v>
      </c>
      <c r="AN14" s="65">
        <f t="shared" si="1"/>
        <v>-3.2705046124196615</v>
      </c>
      <c r="AO14" s="64">
        <f t="shared" si="2"/>
        <v>100.25429582711207</v>
      </c>
      <c r="AP14" s="65">
        <f t="shared" si="3"/>
        <v>4.8371712790863279</v>
      </c>
      <c r="AQ14" s="64">
        <f t="shared" si="4"/>
        <v>71.783333333333346</v>
      </c>
      <c r="AR14" s="64">
        <f t="shared" si="5"/>
        <v>-58.787262265647826</v>
      </c>
      <c r="AS14" s="35">
        <f t="shared" si="6"/>
        <v>-0.52489857781909988</v>
      </c>
      <c r="AT14" s="35">
        <f t="shared" si="7"/>
        <v>-9.4957767446724545E-2</v>
      </c>
      <c r="AU14" t="e">
        <f t="shared" si="12"/>
        <v>#N/A</v>
      </c>
      <c r="AV14" s="35">
        <f t="shared" si="13"/>
        <v>7.9833333333333334</v>
      </c>
      <c r="AW14" s="212">
        <f t="shared" si="14"/>
        <v>14.483333333333333</v>
      </c>
      <c r="AY14" s="29">
        <f t="shared" si="37"/>
        <v>3.5</v>
      </c>
      <c r="AZ14" s="3">
        <f t="shared" si="15"/>
        <v>-39.132585589290542</v>
      </c>
      <c r="BA14" s="3">
        <f t="shared" si="16"/>
        <v>14.340765207083379</v>
      </c>
      <c r="BB14" s="3">
        <f t="shared" si="17"/>
        <v>35.084164860731448</v>
      </c>
      <c r="BC14" s="3">
        <f t="shared" si="18"/>
        <v>-0.79537710528200611</v>
      </c>
      <c r="BD14" s="3" t="e">
        <f t="shared" si="19"/>
        <v>#N/A</v>
      </c>
      <c r="BE14" s="3">
        <f t="shared" si="20"/>
        <v>-7.0830946904175445</v>
      </c>
      <c r="BF14" s="3">
        <f t="shared" si="21"/>
        <v>8.0786616612687983</v>
      </c>
      <c r="BG14" s="3">
        <f t="shared" si="22"/>
        <v>39.749510189098416</v>
      </c>
      <c r="BH14" s="3">
        <f t="shared" si="23"/>
        <v>25.555066735838274</v>
      </c>
      <c r="BI14" s="3">
        <f t="shared" si="24"/>
        <v>63.768570622660562</v>
      </c>
      <c r="BJ14" s="3">
        <f t="shared" si="25"/>
        <v>64.219158723161684</v>
      </c>
      <c r="BK14" s="3" t="e">
        <f t="shared" si="26"/>
        <v>#N/A</v>
      </c>
      <c r="BL14" s="3">
        <f t="shared" si="27"/>
        <v>67.398144362265427</v>
      </c>
      <c r="BM14" s="3" t="e">
        <f t="shared" si="28"/>
        <v>#N/A</v>
      </c>
      <c r="BN14" s="3">
        <f t="shared" si="29"/>
        <v>34.010026389968637</v>
      </c>
      <c r="BO14" s="3">
        <f t="shared" si="30"/>
        <v>32.812630256019617</v>
      </c>
      <c r="BP14" s="3">
        <f t="shared" si="31"/>
        <v>16.641903792468604</v>
      </c>
      <c r="BQ14" s="3" t="e">
        <f t="shared" si="32"/>
        <v>#N/A</v>
      </c>
      <c r="BR14" s="3" t="e">
        <f t="shared" si="33"/>
        <v>#N/A</v>
      </c>
      <c r="BS14" s="3">
        <f t="shared" si="34"/>
        <v>13.894493401977387</v>
      </c>
      <c r="BT14" s="7">
        <f t="shared" si="35"/>
        <v>13.290603951432843</v>
      </c>
    </row>
    <row r="15" spans="1:72" x14ac:dyDescent="0.2">
      <c r="A15" s="6"/>
      <c r="B15" s="16"/>
      <c r="C15" s="14"/>
      <c r="V15" s="24">
        <v>11</v>
      </c>
      <c r="W15" s="51" t="s">
        <v>304</v>
      </c>
      <c r="X15" s="52" t="s">
        <v>112</v>
      </c>
      <c r="Y15" s="51">
        <v>1</v>
      </c>
      <c r="Z15" s="52" t="s">
        <v>118</v>
      </c>
      <c r="AA15" s="159">
        <v>8</v>
      </c>
      <c r="AB15" s="159">
        <v>14.17</v>
      </c>
      <c r="AC15" s="53">
        <v>1.7</v>
      </c>
      <c r="AD15" s="53">
        <v>3</v>
      </c>
      <c r="AE15" s="18" t="e">
        <f t="shared" si="0"/>
        <v>#N/A</v>
      </c>
      <c r="AF15" s="96" t="e">
        <f t="shared" si="8"/>
        <v>#N/A</v>
      </c>
      <c r="AG15" s="18" t="e">
        <f t="shared" si="9"/>
        <v>#N/A</v>
      </c>
      <c r="AH15" s="18" t="e">
        <f>IF(OR($AE$4&lt;0,AE15&lt;0),NA(),  Calcs!$B$62*10^(-0.4*Calcs!$B$63*_xlfn.SEC(RADIANS(90-$AE$4)))  *  (1 - 10^(-0.4*Calcs!$B$63*_xlfn.SEC(RADIANS(90-AE15))))  *  (  10^5.36 * (1.06+ (COS(RADIANS(AG15))^2)) + 10^(6.15 - AG15/40) )  )</f>
        <v>#N/A</v>
      </c>
      <c r="AI15" s="220" t="e">
        <f t="shared" si="10"/>
        <v>#N/A</v>
      </c>
      <c r="AJ15" s="65"/>
      <c r="AK15" s="238">
        <v>45</v>
      </c>
      <c r="AL15" s="46">
        <f t="shared" si="36"/>
        <v>1.4142135623730951</v>
      </c>
      <c r="AM15" s="220">
        <f t="shared" si="11"/>
        <v>3.0186585107266284</v>
      </c>
      <c r="AN15" s="65" t="e">
        <f t="shared" si="1"/>
        <v>#N/A</v>
      </c>
      <c r="AO15" s="64" t="e">
        <f t="shared" si="2"/>
        <v>#N/A</v>
      </c>
      <c r="AP15" s="65" t="e">
        <f t="shared" si="3"/>
        <v>#N/A</v>
      </c>
      <c r="AQ15" s="64" t="e">
        <f t="shared" si="4"/>
        <v>#N/A</v>
      </c>
      <c r="AR15" s="64" t="e">
        <f t="shared" si="5"/>
        <v>#N/A</v>
      </c>
      <c r="AS15" s="35" t="e">
        <f t="shared" si="6"/>
        <v>#N/A</v>
      </c>
      <c r="AT15" s="35" t="e">
        <f t="shared" si="7"/>
        <v>#N/A</v>
      </c>
      <c r="AU15" t="e">
        <f t="shared" si="12"/>
        <v>#N/A</v>
      </c>
      <c r="AV15" s="35">
        <f t="shared" si="13"/>
        <v>8</v>
      </c>
      <c r="AW15" s="212">
        <f t="shared" si="14"/>
        <v>14.283333333333333</v>
      </c>
      <c r="AY15" s="29">
        <f t="shared" si="37"/>
        <v>4</v>
      </c>
      <c r="AZ15" s="3">
        <f t="shared" si="15"/>
        <v>-45.326971744722989</v>
      </c>
      <c r="BA15" s="3">
        <f t="shared" si="16"/>
        <v>19.756056260567739</v>
      </c>
      <c r="BB15" s="3">
        <f t="shared" si="17"/>
        <v>39.061657861418958</v>
      </c>
      <c r="BC15" s="3">
        <f t="shared" si="18"/>
        <v>3.7343183090378531</v>
      </c>
      <c r="BD15" s="3" t="e">
        <f t="shared" si="19"/>
        <v>#N/A</v>
      </c>
      <c r="BE15" s="3">
        <f t="shared" si="20"/>
        <v>-1.4774229094898805</v>
      </c>
      <c r="BF15" s="3">
        <f t="shared" si="21"/>
        <v>14.038275203471935</v>
      </c>
      <c r="BG15" s="3">
        <f t="shared" si="22"/>
        <v>35.064906699398428</v>
      </c>
      <c r="BH15" s="3">
        <f t="shared" si="23"/>
        <v>31.842177506519228</v>
      </c>
      <c r="BI15" s="3">
        <f t="shared" si="24"/>
        <v>60.067645836718881</v>
      </c>
      <c r="BJ15" s="3">
        <f t="shared" si="25"/>
        <v>68.495739496291492</v>
      </c>
      <c r="BK15" s="3" t="e">
        <f t="shared" si="26"/>
        <v>#N/A</v>
      </c>
      <c r="BL15" s="3">
        <f t="shared" si="27"/>
        <v>72.72612836494072</v>
      </c>
      <c r="BM15" s="3" t="e">
        <f t="shared" si="28"/>
        <v>#N/A</v>
      </c>
      <c r="BN15" s="3">
        <f t="shared" si="29"/>
        <v>38.419744325787804</v>
      </c>
      <c r="BO15" s="3">
        <f t="shared" si="30"/>
        <v>35.415934322512854</v>
      </c>
      <c r="BP15" s="3">
        <f t="shared" si="31"/>
        <v>21.822796483109322</v>
      </c>
      <c r="BQ15" s="3" t="e">
        <f t="shared" si="32"/>
        <v>#N/A</v>
      </c>
      <c r="BR15" s="3" t="e">
        <f t="shared" si="33"/>
        <v>#N/A</v>
      </c>
      <c r="BS15" s="3">
        <f t="shared" si="34"/>
        <v>17.227010822575103</v>
      </c>
      <c r="BT15" s="7">
        <f t="shared" si="35"/>
        <v>14.050806498814302</v>
      </c>
    </row>
    <row r="16" spans="1:72" x14ac:dyDescent="0.2">
      <c r="A16" s="31" t="s">
        <v>26</v>
      </c>
      <c r="B16" s="16">
        <f>INT(Calcs!B27) + MOD(Calcs!B27,1)*60/100</f>
        <v>7.3228898656409696</v>
      </c>
      <c r="C16" s="14" t="s">
        <v>141</v>
      </c>
      <c r="V16" s="24">
        <v>12</v>
      </c>
      <c r="W16" s="51" t="s">
        <v>305</v>
      </c>
      <c r="X16" s="52" t="s">
        <v>112</v>
      </c>
      <c r="Y16" s="51">
        <v>1</v>
      </c>
      <c r="Z16" s="52"/>
      <c r="AA16" s="159">
        <v>8.24</v>
      </c>
      <c r="AB16" s="159">
        <v>41.21</v>
      </c>
      <c r="AC16" s="53">
        <v>1.7</v>
      </c>
      <c r="AD16" s="53">
        <v>3.8</v>
      </c>
      <c r="AE16" s="18">
        <f t="shared" si="0"/>
        <v>45.763441447038453</v>
      </c>
      <c r="AF16" s="96">
        <f t="shared" si="8"/>
        <v>5.7871712790863281</v>
      </c>
      <c r="AG16" s="18" t="e">
        <f t="shared" si="9"/>
        <v>#N/A</v>
      </c>
      <c r="AH16" s="18" t="e">
        <f>IF(OR($AE$4&lt;0,AE16&lt;0),NA(),  Calcs!$B$62*10^(-0.4*Calcs!$B$63*_xlfn.SEC(RADIANS(90-$AE$4)))  *  (1 - 10^(-0.4*Calcs!$B$63*_xlfn.SEC(RADIANS(90-AE16))))  *  (  10^5.36 * (1.06+ (COS(RADIANS(AG16))^2)) + 10^(6.15 - AG16/40) )  )</f>
        <v>#N/A</v>
      </c>
      <c r="AI16" s="220" t="e">
        <f t="shared" si="10"/>
        <v>#N/A</v>
      </c>
      <c r="AJ16" s="65"/>
      <c r="AK16" s="238">
        <v>45</v>
      </c>
      <c r="AL16" s="46">
        <f t="shared" si="36"/>
        <v>1.4142135623730951</v>
      </c>
      <c r="AM16" s="220">
        <f t="shared" si="11"/>
        <v>3.7555760350628704</v>
      </c>
      <c r="AN16" s="65">
        <f t="shared" si="1"/>
        <v>-3.6871712790863285</v>
      </c>
      <c r="AO16" s="64">
        <f t="shared" si="2"/>
        <v>62.22228875005171</v>
      </c>
      <c r="AP16" s="65">
        <f t="shared" si="3"/>
        <v>5.2538379457529949</v>
      </c>
      <c r="AQ16" s="64">
        <f t="shared" si="4"/>
        <v>81.34999999999998</v>
      </c>
      <c r="AR16" s="64">
        <f t="shared" si="5"/>
        <v>-82.660404376187358</v>
      </c>
      <c r="AS16" s="35">
        <f t="shared" si="6"/>
        <v>-0.43487601093598932</v>
      </c>
      <c r="AT16" s="35">
        <f t="shared" si="7"/>
        <v>0.22906795558104531</v>
      </c>
      <c r="AU16">
        <f t="shared" si="12"/>
        <v>5.7871712790863281</v>
      </c>
      <c r="AV16" s="35">
        <f t="shared" si="13"/>
        <v>8.4</v>
      </c>
      <c r="AW16" s="212">
        <f t="shared" si="14"/>
        <v>41.35</v>
      </c>
      <c r="AY16" s="29">
        <f t="shared" si="37"/>
        <v>4.5</v>
      </c>
      <c r="AZ16" s="3">
        <f t="shared" si="15"/>
        <v>-51.374523143676782</v>
      </c>
      <c r="BA16" s="3">
        <f t="shared" si="16"/>
        <v>25.330581521480191</v>
      </c>
      <c r="BB16" s="3">
        <f t="shared" si="17"/>
        <v>43.045510370522408</v>
      </c>
      <c r="BC16" s="3">
        <f t="shared" si="18"/>
        <v>8.5437355933506165</v>
      </c>
      <c r="BD16" s="3" t="e">
        <f t="shared" si="19"/>
        <v>#N/A</v>
      </c>
      <c r="BE16" s="3">
        <f t="shared" si="20"/>
        <v>4.3223675721503554</v>
      </c>
      <c r="BF16" s="3">
        <f t="shared" si="21"/>
        <v>20.116024603570214</v>
      </c>
      <c r="BG16" s="3">
        <f t="shared" si="22"/>
        <v>29.910982408767634</v>
      </c>
      <c r="BH16" s="3">
        <f t="shared" si="23"/>
        <v>38.066739683702011</v>
      </c>
      <c r="BI16" s="3">
        <f t="shared" si="24"/>
        <v>55.970612411117038</v>
      </c>
      <c r="BJ16" s="3">
        <f t="shared" si="25"/>
        <v>71.210616704774196</v>
      </c>
      <c r="BK16" s="3" t="e">
        <f t="shared" si="26"/>
        <v>#N/A</v>
      </c>
      <c r="BL16" s="3">
        <f t="shared" si="27"/>
        <v>77.517799909506351</v>
      </c>
      <c r="BM16" s="3" t="e">
        <f t="shared" si="28"/>
        <v>#N/A</v>
      </c>
      <c r="BN16" s="3">
        <f t="shared" si="29"/>
        <v>42.867370546252509</v>
      </c>
      <c r="BO16" s="3">
        <f t="shared" si="30"/>
        <v>38.015409032788106</v>
      </c>
      <c r="BP16" s="3">
        <f t="shared" si="31"/>
        <v>27.165401845941851</v>
      </c>
      <c r="BQ16" s="3" t="e">
        <f t="shared" si="32"/>
        <v>#N/A</v>
      </c>
      <c r="BR16" s="3" t="e">
        <f t="shared" si="33"/>
        <v>#N/A</v>
      </c>
      <c r="BS16" s="3">
        <f t="shared" si="34"/>
        <v>20.782128312455388</v>
      </c>
      <c r="BT16" s="7">
        <f t="shared" si="35"/>
        <v>15.082035628755067</v>
      </c>
    </row>
    <row r="17" spans="1:72" x14ac:dyDescent="0.2">
      <c r="A17" s="6"/>
      <c r="C17" s="14"/>
      <c r="V17" s="24">
        <v>13</v>
      </c>
      <c r="W17" s="51" t="s">
        <v>306</v>
      </c>
      <c r="X17" s="52" t="s">
        <v>112</v>
      </c>
      <c r="Y17" s="51">
        <v>3</v>
      </c>
      <c r="Z17" s="52" t="s">
        <v>314</v>
      </c>
      <c r="AA17" s="159">
        <v>11.39</v>
      </c>
      <c r="AB17" s="159">
        <v>53.21</v>
      </c>
      <c r="AC17" s="53">
        <v>1.7</v>
      </c>
      <c r="AD17" s="53">
        <v>3.8</v>
      </c>
      <c r="AE17" s="18" t="e">
        <f t="shared" si="0"/>
        <v>#N/A</v>
      </c>
      <c r="AF17" s="96" t="e">
        <f t="shared" si="8"/>
        <v>#N/A</v>
      </c>
      <c r="AG17" s="18" t="e">
        <f t="shared" si="9"/>
        <v>#N/A</v>
      </c>
      <c r="AH17" s="18" t="e">
        <f>IF(OR($AE$4&lt;0,AE17&lt;0),NA(),  Calcs!$B$62*10^(-0.4*Calcs!$B$63*_xlfn.SEC(RADIANS(90-$AE$4)))  *  (1 - 10^(-0.4*Calcs!$B$63*_xlfn.SEC(RADIANS(90-AE17))))  *  (  10^5.36 * (1.06+ (COS(RADIANS(AG17))^2)) + 10^(6.15 - AG17/40) )  )</f>
        <v>#N/A</v>
      </c>
      <c r="AI17" s="220" t="e">
        <f t="shared" si="10"/>
        <v>#N/A</v>
      </c>
      <c r="AJ17" s="65"/>
      <c r="AK17" s="238">
        <v>45</v>
      </c>
      <c r="AL17" s="46">
        <f t="shared" si="36"/>
        <v>1.4142135623730951</v>
      </c>
      <c r="AM17" s="220">
        <f t="shared" si="11"/>
        <v>3.7991737894491471</v>
      </c>
      <c r="AN17" s="65" t="e">
        <f t="shared" si="1"/>
        <v>#N/A</v>
      </c>
      <c r="AO17" s="64" t="e">
        <f t="shared" si="2"/>
        <v>#N/A</v>
      </c>
      <c r="AP17" s="65" t="e">
        <f t="shared" si="3"/>
        <v>#N/A</v>
      </c>
      <c r="AQ17" s="64" t="e">
        <f t="shared" si="4"/>
        <v>#N/A</v>
      </c>
      <c r="AR17" s="64" t="e">
        <f t="shared" si="5"/>
        <v>#N/A</v>
      </c>
      <c r="AS17" s="35" t="e">
        <f t="shared" si="6"/>
        <v>#N/A</v>
      </c>
      <c r="AT17" s="35" t="e">
        <f t="shared" si="7"/>
        <v>#N/A</v>
      </c>
      <c r="AU17" t="e">
        <f t="shared" si="12"/>
        <v>#N/A</v>
      </c>
      <c r="AV17" s="35">
        <f t="shared" si="13"/>
        <v>11.65</v>
      </c>
      <c r="AW17" s="212">
        <f t="shared" si="14"/>
        <v>53.35</v>
      </c>
      <c r="AY17" s="29">
        <f t="shared" si="37"/>
        <v>5</v>
      </c>
      <c r="AZ17" s="3">
        <f t="shared" si="15"/>
        <v>-57.167038369940038</v>
      </c>
      <c r="BA17" s="3">
        <f t="shared" si="16"/>
        <v>31.039169193249567</v>
      </c>
      <c r="BB17" s="3">
        <f t="shared" si="17"/>
        <v>46.98291634710818</v>
      </c>
      <c r="BC17" s="3">
        <f t="shared" si="18"/>
        <v>13.591257681726525</v>
      </c>
      <c r="BD17" s="3" t="e">
        <f t="shared" si="19"/>
        <v>#N/A</v>
      </c>
      <c r="BE17" s="3">
        <f t="shared" si="20"/>
        <v>10.27737810403025</v>
      </c>
      <c r="BF17" s="3">
        <f t="shared" si="21"/>
        <v>26.286200010979062</v>
      </c>
      <c r="BG17" s="3">
        <f t="shared" si="22"/>
        <v>24.404744401978366</v>
      </c>
      <c r="BH17" s="3">
        <f t="shared" si="23"/>
        <v>44.174709342664009</v>
      </c>
      <c r="BI17" s="3">
        <f t="shared" si="24"/>
        <v>51.634792354825258</v>
      </c>
      <c r="BJ17" s="3">
        <f t="shared" si="25"/>
        <v>71.648156586031703</v>
      </c>
      <c r="BK17" s="3" t="e">
        <f t="shared" si="26"/>
        <v>#N/A</v>
      </c>
      <c r="BL17" s="3">
        <f t="shared" si="27"/>
        <v>80.834060657184125</v>
      </c>
      <c r="BM17" s="3" t="e">
        <f t="shared" si="28"/>
        <v>#N/A</v>
      </c>
      <c r="BN17" s="3">
        <f t="shared" si="29"/>
        <v>47.306180468172258</v>
      </c>
      <c r="BO17" s="3">
        <f t="shared" si="30"/>
        <v>40.569344071393886</v>
      </c>
      <c r="BP17" s="3">
        <f t="shared" si="31"/>
        <v>32.643377897135245</v>
      </c>
      <c r="BQ17" s="3" t="e">
        <f t="shared" si="32"/>
        <v>#N/A</v>
      </c>
      <c r="BR17" s="3" t="e">
        <f t="shared" si="33"/>
        <v>#N/A</v>
      </c>
      <c r="BS17" s="3">
        <f t="shared" si="34"/>
        <v>24.525745602846303</v>
      </c>
      <c r="BT17" s="7">
        <f t="shared" si="35"/>
        <v>16.370699463365682</v>
      </c>
    </row>
    <row r="18" spans="1:72" x14ac:dyDescent="0.2">
      <c r="A18" s="31" t="s">
        <v>20</v>
      </c>
      <c r="B18" s="16">
        <f>INT(Calcs!B37) + MOD(Calcs!B37,1)*60/100</f>
        <v>12.279294009550934</v>
      </c>
      <c r="C18" s="14" t="s">
        <v>141</v>
      </c>
      <c r="V18" s="24">
        <v>14</v>
      </c>
      <c r="W18" s="51" t="s">
        <v>307</v>
      </c>
      <c r="X18" s="52" t="s">
        <v>112</v>
      </c>
      <c r="Y18" s="51">
        <v>2</v>
      </c>
      <c r="Z18" s="52"/>
      <c r="AA18" s="159">
        <v>11.41</v>
      </c>
      <c r="AB18" s="159">
        <v>53.35</v>
      </c>
      <c r="AC18" s="53">
        <v>1.7</v>
      </c>
      <c r="AD18" s="53">
        <v>3.8</v>
      </c>
      <c r="AE18" s="18">
        <f t="shared" si="0"/>
        <v>18.0095629042826</v>
      </c>
      <c r="AF18" s="96">
        <f t="shared" si="8"/>
        <v>9.0705046124196613</v>
      </c>
      <c r="AG18" s="18" t="e">
        <f t="shared" si="9"/>
        <v>#N/A</v>
      </c>
      <c r="AH18" s="18" t="e">
        <f>IF(OR($AE$4&lt;0,AE18&lt;0),NA(),  Calcs!$B$62*10^(-0.4*Calcs!$B$63*_xlfn.SEC(RADIANS(90-$AE$4)))  *  (1 - 10^(-0.4*Calcs!$B$63*_xlfn.SEC(RADIANS(90-AE18))))  *  (  10^5.36 * (1.06+ (COS(RADIANS(AG18))^2)) + 10^(6.15 - AG18/40) )  )</f>
        <v>#N/A</v>
      </c>
      <c r="AI18" s="220" t="e">
        <f t="shared" si="10"/>
        <v>#N/A</v>
      </c>
      <c r="AJ18" s="65"/>
      <c r="AK18" s="238">
        <v>45</v>
      </c>
      <c r="AL18" s="46">
        <f t="shared" si="36"/>
        <v>1.4142135623730951</v>
      </c>
      <c r="AM18" s="220">
        <f t="shared" si="11"/>
        <v>3.7974361622913086</v>
      </c>
      <c r="AN18" s="65">
        <f t="shared" si="1"/>
        <v>-6.9705046124196617</v>
      </c>
      <c r="AO18" s="64">
        <f t="shared" si="2"/>
        <v>37.171064455992664</v>
      </c>
      <c r="AP18" s="65">
        <f t="shared" si="3"/>
        <v>8.5371712790863281</v>
      </c>
      <c r="AQ18" s="64">
        <f t="shared" si="4"/>
        <v>69.11666666666666</v>
      </c>
      <c r="AR18" s="64">
        <f t="shared" si="5"/>
        <v>-58.921041865833715</v>
      </c>
      <c r="AS18" s="35">
        <f t="shared" si="6"/>
        <v>-0.48329322044336948</v>
      </c>
      <c r="AT18" s="35">
        <f t="shared" si="7"/>
        <v>0.63738345379861205</v>
      </c>
      <c r="AU18" t="e">
        <f t="shared" si="12"/>
        <v>#N/A</v>
      </c>
      <c r="AV18" s="35">
        <f t="shared" si="13"/>
        <v>11.683333333333334</v>
      </c>
      <c r="AW18" s="212">
        <f t="shared" si="14"/>
        <v>53.583333333333336</v>
      </c>
      <c r="AY18" s="29">
        <f t="shared" si="37"/>
        <v>5.5</v>
      </c>
      <c r="AZ18" s="3">
        <f t="shared" si="15"/>
        <v>-62.518059504067331</v>
      </c>
      <c r="BA18" s="3">
        <f t="shared" si="16"/>
        <v>36.860226485780395</v>
      </c>
      <c r="BB18" s="3">
        <f t="shared" si="17"/>
        <v>50.808572401458143</v>
      </c>
      <c r="BC18" s="3">
        <f t="shared" si="18"/>
        <v>18.840796636385182</v>
      </c>
      <c r="BD18" s="3" t="e">
        <f t="shared" si="19"/>
        <v>#N/A</v>
      </c>
      <c r="BE18" s="3">
        <f t="shared" si="20"/>
        <v>16.355183770577323</v>
      </c>
      <c r="BF18" s="3">
        <f t="shared" si="21"/>
        <v>32.525576065029661</v>
      </c>
      <c r="BG18" s="3">
        <f t="shared" si="22"/>
        <v>18.635370833352916</v>
      </c>
      <c r="BH18" s="3">
        <f t="shared" si="23"/>
        <v>50.086746501897544</v>
      </c>
      <c r="BI18" s="3">
        <f t="shared" si="24"/>
        <v>47.167063452305172</v>
      </c>
      <c r="BJ18" s="3">
        <f t="shared" si="25"/>
        <v>69.659712338851776</v>
      </c>
      <c r="BK18" s="3" t="e">
        <f t="shared" si="26"/>
        <v>#N/A</v>
      </c>
      <c r="BL18" s="3">
        <f t="shared" si="27"/>
        <v>80.863972313425364</v>
      </c>
      <c r="BM18" s="3" t="e">
        <f t="shared" si="28"/>
        <v>#N/A</v>
      </c>
      <c r="BN18" s="3">
        <f t="shared" si="29"/>
        <v>51.677657828393677</v>
      </c>
      <c r="BO18" s="3">
        <f t="shared" si="30"/>
        <v>43.031561851534256</v>
      </c>
      <c r="BP18" s="3">
        <f t="shared" si="31"/>
        <v>38.23313001692577</v>
      </c>
      <c r="BQ18" s="3" t="e">
        <f t="shared" si="32"/>
        <v>#N/A</v>
      </c>
      <c r="BR18" s="3" t="e">
        <f t="shared" si="33"/>
        <v>#N/A</v>
      </c>
      <c r="BS18" s="3">
        <f t="shared" si="34"/>
        <v>28.423635518427776</v>
      </c>
      <c r="BT18" s="7">
        <f t="shared" si="35"/>
        <v>17.90013948245787</v>
      </c>
    </row>
    <row r="19" spans="1:72" x14ac:dyDescent="0.2">
      <c r="A19" s="31" t="s">
        <v>21</v>
      </c>
      <c r="B19" s="16">
        <f>INT(Calcs!B38) + MOD(Calcs!B38,1)*60/100</f>
        <v>12.564554208170028</v>
      </c>
      <c r="C19" s="14" t="s">
        <v>141</v>
      </c>
      <c r="V19" s="24">
        <v>15</v>
      </c>
      <c r="W19" s="51" t="s">
        <v>308</v>
      </c>
      <c r="X19" s="52" t="s">
        <v>112</v>
      </c>
      <c r="Y19" s="51">
        <v>1</v>
      </c>
      <c r="Z19" s="52"/>
      <c r="AA19" s="159">
        <v>12.11</v>
      </c>
      <c r="AB19" s="159">
        <v>69.39</v>
      </c>
      <c r="AC19" s="53">
        <v>1.7</v>
      </c>
      <c r="AD19" s="53">
        <v>3.1</v>
      </c>
      <c r="AE19" s="18">
        <f t="shared" si="0"/>
        <v>23.367340915101316</v>
      </c>
      <c r="AF19" s="96">
        <f t="shared" si="8"/>
        <v>8.8705046124196603</v>
      </c>
      <c r="AG19" s="18" t="e">
        <f t="shared" si="9"/>
        <v>#N/A</v>
      </c>
      <c r="AH19" s="18" t="e">
        <f>IF(OR($AE$4&lt;0,AE19&lt;0),NA(),  Calcs!$B$62*10^(-0.4*Calcs!$B$63*_xlfn.SEC(RADIANS(90-$AE$4)))  *  (1 - 10^(-0.4*Calcs!$B$63*_xlfn.SEC(RADIANS(90-AE19))))  *  (  10^5.36 * (1.06+ (COS(RADIANS(AG19))^2)) + 10^(6.15 - AG19/40) )  )</f>
        <v>#N/A</v>
      </c>
      <c r="AI19" s="220" t="e">
        <f t="shared" si="10"/>
        <v>#N/A</v>
      </c>
      <c r="AJ19" s="65"/>
      <c r="AK19" s="238">
        <v>45</v>
      </c>
      <c r="AL19" s="46">
        <f t="shared" si="36"/>
        <v>1.4142135623730951</v>
      </c>
      <c r="AM19" s="220">
        <f t="shared" si="11"/>
        <v>3.115339607661284</v>
      </c>
      <c r="AN19" s="65">
        <f t="shared" si="1"/>
        <v>-7.4705046124196599</v>
      </c>
      <c r="AO19" s="64">
        <f t="shared" si="2"/>
        <v>20.554460415669549</v>
      </c>
      <c r="AP19" s="65">
        <f t="shared" si="3"/>
        <v>9.0371712790863263</v>
      </c>
      <c r="AQ19" s="64">
        <f t="shared" si="4"/>
        <v>53.04999999999999</v>
      </c>
      <c r="AR19" s="64">
        <f t="shared" si="5"/>
        <v>-58.168372413137128</v>
      </c>
      <c r="AS19" s="35">
        <f t="shared" si="6"/>
        <v>-0.25993958731101957</v>
      </c>
      <c r="AT19" s="35">
        <f t="shared" si="7"/>
        <v>0.69323055554178059</v>
      </c>
      <c r="AU19" t="e">
        <f t="shared" si="12"/>
        <v>#N/A</v>
      </c>
      <c r="AV19" s="35">
        <f t="shared" si="13"/>
        <v>12.183333333333332</v>
      </c>
      <c r="AW19" s="212">
        <f t="shared" si="14"/>
        <v>69.650000000000006</v>
      </c>
      <c r="AY19" s="29">
        <f t="shared" si="37"/>
        <v>6</v>
      </c>
      <c r="AZ19" s="3">
        <f t="shared" si="15"/>
        <v>-67.094051739215317</v>
      </c>
      <c r="BA19" s="3">
        <f t="shared" si="16"/>
        <v>42.775072209314892</v>
      </c>
      <c r="BB19" s="3">
        <f t="shared" si="17"/>
        <v>54.438750663650438</v>
      </c>
      <c r="BC19" s="3">
        <f t="shared" si="18"/>
        <v>24.26120174402806</v>
      </c>
      <c r="BD19" s="3" t="e">
        <f t="shared" si="19"/>
        <v>#N/A</v>
      </c>
      <c r="BE19" s="3">
        <f t="shared" si="20"/>
        <v>22.527971425408101</v>
      </c>
      <c r="BF19" s="3">
        <f t="shared" si="21"/>
        <v>38.811649554805456</v>
      </c>
      <c r="BG19" s="3">
        <f t="shared" si="22"/>
        <v>12.670831025146448</v>
      </c>
      <c r="BH19" s="3">
        <f t="shared" si="23"/>
        <v>55.678101645716765</v>
      </c>
      <c r="BI19" s="3">
        <f t="shared" si="24"/>
        <v>42.642724290572041</v>
      </c>
      <c r="BJ19" s="3">
        <f t="shared" si="25"/>
        <v>65.841528811581455</v>
      </c>
      <c r="BK19" s="3" t="e">
        <f t="shared" si="26"/>
        <v>#N/A</v>
      </c>
      <c r="BL19" s="3">
        <f t="shared" si="27"/>
        <v>77.583622594465481</v>
      </c>
      <c r="BM19" s="3" t="e">
        <f t="shared" si="28"/>
        <v>#N/A</v>
      </c>
      <c r="BN19" s="3">
        <f t="shared" si="29"/>
        <v>55.903694570518041</v>
      </c>
      <c r="BO19" s="3">
        <f t="shared" si="30"/>
        <v>45.350978501531614</v>
      </c>
      <c r="BP19" s="3">
        <f t="shared" si="31"/>
        <v>43.912900841294764</v>
      </c>
      <c r="BQ19" s="3" t="e">
        <f t="shared" si="32"/>
        <v>#N/A</v>
      </c>
      <c r="BR19" s="3" t="e">
        <f t="shared" si="33"/>
        <v>#N/A</v>
      </c>
      <c r="BS19" s="3">
        <f t="shared" si="34"/>
        <v>32.440837328628042</v>
      </c>
      <c r="BT19" s="7">
        <f t="shared" si="35"/>
        <v>19.650978760021047</v>
      </c>
    </row>
    <row r="20" spans="1:72" x14ac:dyDescent="0.2">
      <c r="A20" s="31" t="s">
        <v>19</v>
      </c>
      <c r="B20" s="16">
        <f>INT(Calcs!B39) + MOD(Calcs!B39,1)*60/100</f>
        <v>13.497144726262949</v>
      </c>
      <c r="C20" s="14" t="s">
        <v>141</v>
      </c>
      <c r="K20" s="1"/>
      <c r="V20" s="24">
        <v>16</v>
      </c>
      <c r="W20" s="51" t="s">
        <v>309</v>
      </c>
      <c r="X20" s="52" t="s">
        <v>112</v>
      </c>
      <c r="Y20" s="51">
        <v>1</v>
      </c>
      <c r="Z20" s="52"/>
      <c r="AA20" s="159">
        <v>12.58</v>
      </c>
      <c r="AB20" s="159">
        <v>39.090000000000003</v>
      </c>
      <c r="AC20" s="53">
        <v>1.7</v>
      </c>
      <c r="AD20" s="53">
        <v>3.7</v>
      </c>
      <c r="AE20" s="18">
        <f t="shared" si="0"/>
        <v>-1.2618272654095537</v>
      </c>
      <c r="AF20" s="96">
        <f t="shared" si="8"/>
        <v>10.253837945752995</v>
      </c>
      <c r="AG20" s="18" t="e">
        <f t="shared" si="9"/>
        <v>#N/A</v>
      </c>
      <c r="AH20" s="18" t="e">
        <f>IF(OR($AE$4&lt;0,AE20&lt;0),NA(),  Calcs!$B$62*10^(-0.4*Calcs!$B$63*_xlfn.SEC(RADIANS(90-$AE$4)))  *  (1 - 10^(-0.4*Calcs!$B$63*_xlfn.SEC(RADIANS(90-AE20))))  *  (  10^5.36 * (1.06+ (COS(RADIANS(AG20))^2)) + 10^(6.15 - AG20/40) )  )</f>
        <v>#N/A</v>
      </c>
      <c r="AI20" s="220" t="e">
        <f t="shared" si="10"/>
        <v>#N/A</v>
      </c>
      <c r="AJ20" s="65"/>
      <c r="AK20" s="238">
        <v>45</v>
      </c>
      <c r="AL20" s="46">
        <f t="shared" si="36"/>
        <v>1.4142135623730951</v>
      </c>
      <c r="AM20" s="220">
        <f t="shared" si="11"/>
        <v>3.7255479714898199</v>
      </c>
      <c r="AN20" s="65">
        <f t="shared" si="1"/>
        <v>-8.2538379457529949</v>
      </c>
      <c r="AO20" s="64">
        <f t="shared" si="2"/>
        <v>40.130012237211055</v>
      </c>
      <c r="AP20" s="65">
        <f t="shared" si="3"/>
        <v>9.8205046124196613</v>
      </c>
      <c r="AQ20" s="64">
        <f t="shared" si="4"/>
        <v>83.549999999999983</v>
      </c>
      <c r="AR20" s="64">
        <f t="shared" si="5"/>
        <v>-44.378095422950082</v>
      </c>
      <c r="AS20" s="35" t="e">
        <f t="shared" si="6"/>
        <v>#N/A</v>
      </c>
      <c r="AT20" s="35" t="e">
        <f t="shared" si="7"/>
        <v>#N/A</v>
      </c>
      <c r="AU20" t="e">
        <f t="shared" si="12"/>
        <v>#N/A</v>
      </c>
      <c r="AV20" s="35">
        <f t="shared" si="13"/>
        <v>12.966666666666667</v>
      </c>
      <c r="AW20" s="212">
        <f t="shared" si="14"/>
        <v>39.150000000000006</v>
      </c>
      <c r="AY20" s="29">
        <f t="shared" si="37"/>
        <v>6.5</v>
      </c>
      <c r="AZ20" s="3">
        <f t="shared" si="15"/>
        <v>-70.328700754037143</v>
      </c>
      <c r="BA20" s="3">
        <f t="shared" si="16"/>
        <v>48.767312822830995</v>
      </c>
      <c r="BB20" s="3">
        <f t="shared" si="17"/>
        <v>57.763986270487507</v>
      </c>
      <c r="BC20" s="3">
        <f t="shared" si="18"/>
        <v>29.825568019331282</v>
      </c>
      <c r="BD20" s="3" t="e">
        <f t="shared" si="19"/>
        <v>#N/A</v>
      </c>
      <c r="BE20" s="3">
        <f t="shared" si="20"/>
        <v>28.770769363065526</v>
      </c>
      <c r="BF20" s="3">
        <f t="shared" si="21"/>
        <v>45.120279452214618</v>
      </c>
      <c r="BG20" s="3">
        <f t="shared" si="22"/>
        <v>6.5638160514029718</v>
      </c>
      <c r="BH20" s="3">
        <f t="shared" si="23"/>
        <v>60.743395626956541</v>
      </c>
      <c r="BI20" s="3">
        <f t="shared" si="24"/>
        <v>38.118048733560371</v>
      </c>
      <c r="BJ20" s="3">
        <f t="shared" si="25"/>
        <v>60.913802123950987</v>
      </c>
      <c r="BK20" s="3" t="e">
        <f t="shared" si="26"/>
        <v>#N/A</v>
      </c>
      <c r="BL20" s="3">
        <f t="shared" si="27"/>
        <v>72.805038600910137</v>
      </c>
      <c r="BM20" s="3" t="e">
        <f t="shared" si="28"/>
        <v>#N/A</v>
      </c>
      <c r="BN20" s="3">
        <f t="shared" si="29"/>
        <v>59.874478715956002</v>
      </c>
      <c r="BO20" s="3">
        <f t="shared" si="30"/>
        <v>47.471651634866717</v>
      </c>
      <c r="BP20" s="3">
        <f t="shared" si="31"/>
        <v>49.661570738271294</v>
      </c>
      <c r="BQ20" s="3" t="e">
        <f t="shared" si="32"/>
        <v>#N/A</v>
      </c>
      <c r="BR20" s="3" t="e">
        <f t="shared" si="33"/>
        <v>#N/A</v>
      </c>
      <c r="BS20" s="3">
        <f t="shared" si="34"/>
        <v>36.540592724701142</v>
      </c>
      <c r="BT20" s="7">
        <f t="shared" si="35"/>
        <v>21.601439343034354</v>
      </c>
    </row>
    <row r="21" spans="1:72" x14ac:dyDescent="0.2">
      <c r="A21" s="31"/>
      <c r="C21" s="14"/>
      <c r="K21" s="1"/>
      <c r="V21" s="24">
        <v>17</v>
      </c>
      <c r="W21" s="51" t="s">
        <v>310</v>
      </c>
      <c r="X21" s="52" t="s">
        <v>112</v>
      </c>
      <c r="Y21" s="51">
        <v>3</v>
      </c>
      <c r="Z21" s="52" t="s">
        <v>314</v>
      </c>
      <c r="AA21" s="159">
        <v>13.02</v>
      </c>
      <c r="AB21" s="159">
        <v>34.520000000000003</v>
      </c>
      <c r="AC21" s="53">
        <v>1.7</v>
      </c>
      <c r="AD21" s="53">
        <v>3.7</v>
      </c>
      <c r="AE21" s="18" t="e">
        <f t="shared" si="0"/>
        <v>#N/A</v>
      </c>
      <c r="AF21" s="96" t="e">
        <f t="shared" si="8"/>
        <v>#N/A</v>
      </c>
      <c r="AG21" s="18" t="e">
        <f t="shared" si="9"/>
        <v>#N/A</v>
      </c>
      <c r="AH21" s="18" t="e">
        <f>IF(OR($AE$4&lt;0,AE21&lt;0),NA(),  Calcs!$B$62*10^(-0.4*Calcs!$B$63*_xlfn.SEC(RADIANS(90-$AE$4)))  *  (1 - 10^(-0.4*Calcs!$B$63*_xlfn.SEC(RADIANS(90-AE21))))  *  (  10^5.36 * (1.06+ (COS(RADIANS(AG21))^2)) + 10^(6.15 - AG21/40) )  )</f>
        <v>#N/A</v>
      </c>
      <c r="AI21" s="220" t="e">
        <f t="shared" si="10"/>
        <v>#N/A</v>
      </c>
      <c r="AJ21" s="65"/>
      <c r="AK21" s="238">
        <v>45</v>
      </c>
      <c r="AL21" s="46">
        <f t="shared" si="36"/>
        <v>1.4142135623730951</v>
      </c>
      <c r="AM21" s="220">
        <f t="shared" si="11"/>
        <v>3.6514875740738719</v>
      </c>
      <c r="AN21" s="65" t="e">
        <f t="shared" si="1"/>
        <v>#N/A</v>
      </c>
      <c r="AO21" s="64" t="e">
        <f t="shared" si="2"/>
        <v>#N/A</v>
      </c>
      <c r="AP21" s="65" t="e">
        <f t="shared" si="3"/>
        <v>#N/A</v>
      </c>
      <c r="AQ21" s="64" t="e">
        <f t="shared" si="4"/>
        <v>#N/A</v>
      </c>
      <c r="AR21" s="64" t="e">
        <f t="shared" si="5"/>
        <v>#N/A</v>
      </c>
      <c r="AS21" s="35" t="e">
        <f t="shared" si="6"/>
        <v>#N/A</v>
      </c>
      <c r="AT21" s="35" t="e">
        <f t="shared" si="7"/>
        <v>#N/A</v>
      </c>
      <c r="AU21" t="e">
        <f t="shared" si="12"/>
        <v>#N/A</v>
      </c>
      <c r="AV21" s="35">
        <f t="shared" si="13"/>
        <v>13.033333333333333</v>
      </c>
      <c r="AW21" s="212">
        <f t="shared" si="14"/>
        <v>34.866666666666674</v>
      </c>
      <c r="AY21" s="29">
        <f t="shared" si="37"/>
        <v>7</v>
      </c>
      <c r="AZ21" s="3">
        <f t="shared" si="15"/>
        <v>-71.493655838546616</v>
      </c>
      <c r="BA21" s="3">
        <f t="shared" si="16"/>
        <v>54.822211355699579</v>
      </c>
      <c r="BB21" s="3">
        <f t="shared" si="17"/>
        <v>60.642372276667096</v>
      </c>
      <c r="BC21" s="3">
        <f t="shared" si="18"/>
        <v>35.510516892618163</v>
      </c>
      <c r="BD21" s="3" t="e">
        <f t="shared" si="19"/>
        <v>#N/A</v>
      </c>
      <c r="BE21" s="3">
        <f t="shared" si="20"/>
        <v>35.059558728594517</v>
      </c>
      <c r="BF21" s="3">
        <f t="shared" si="21"/>
        <v>51.421825874743845</v>
      </c>
      <c r="BG21" s="3">
        <f t="shared" si="22"/>
        <v>0.35651629038373656</v>
      </c>
      <c r="BH21" s="3">
        <f t="shared" si="23"/>
        <v>64.943503409711511</v>
      </c>
      <c r="BI21" s="3">
        <f t="shared" si="24"/>
        <v>33.638106007651494</v>
      </c>
      <c r="BJ21" s="3">
        <f t="shared" si="25"/>
        <v>55.358115827873014</v>
      </c>
      <c r="BK21" s="3" t="e">
        <f t="shared" si="26"/>
        <v>#N/A</v>
      </c>
      <c r="BL21" s="3">
        <f t="shared" si="27"/>
        <v>67.481995750159456</v>
      </c>
      <c r="BM21" s="3" t="e">
        <f t="shared" si="28"/>
        <v>#N/A</v>
      </c>
      <c r="BN21" s="3">
        <f t="shared" si="29"/>
        <v>63.431314491954296</v>
      </c>
      <c r="BO21" s="3">
        <f t="shared" si="30"/>
        <v>49.333753409987509</v>
      </c>
      <c r="BP21" s="3">
        <f t="shared" si="31"/>
        <v>55.456771234212141</v>
      </c>
      <c r="BQ21" s="3" t="e">
        <f t="shared" si="32"/>
        <v>#N/A</v>
      </c>
      <c r="BR21" s="3" t="e">
        <f t="shared" si="33"/>
        <v>#N/A</v>
      </c>
      <c r="BS21" s="3">
        <f t="shared" si="34"/>
        <v>40.682684586878437</v>
      </c>
      <c r="BT21" s="7">
        <f t="shared" si="35"/>
        <v>23.727590951258282</v>
      </c>
    </row>
    <row r="22" spans="1:72" x14ac:dyDescent="0.2">
      <c r="A22" s="31" t="s">
        <v>83</v>
      </c>
      <c r="B22" s="3">
        <f>Calcs!B58</f>
        <v>9.9900605666627076</v>
      </c>
      <c r="C22" s="14" t="s">
        <v>4</v>
      </c>
      <c r="K22" s="1"/>
      <c r="V22" s="24">
        <v>18</v>
      </c>
      <c r="W22" s="51" t="s">
        <v>311</v>
      </c>
      <c r="X22" s="52" t="s">
        <v>112</v>
      </c>
      <c r="Y22" s="51">
        <v>3</v>
      </c>
      <c r="Z22" s="52" t="s">
        <v>314</v>
      </c>
      <c r="AA22" s="159">
        <v>13.33</v>
      </c>
      <c r="AB22" s="159">
        <v>59.58</v>
      </c>
      <c r="AC22" s="53">
        <v>1.7</v>
      </c>
      <c r="AD22" s="53">
        <v>3.7</v>
      </c>
      <c r="AE22" s="18" t="e">
        <f t="shared" si="0"/>
        <v>#N/A</v>
      </c>
      <c r="AF22" s="96" t="e">
        <f t="shared" si="8"/>
        <v>#N/A</v>
      </c>
      <c r="AG22" s="18" t="e">
        <f t="shared" si="9"/>
        <v>#N/A</v>
      </c>
      <c r="AH22" s="18" t="e">
        <f>IF(OR($AE$4&lt;0,AE22&lt;0),NA(),  Calcs!$B$62*10^(-0.4*Calcs!$B$63*_xlfn.SEC(RADIANS(90-$AE$4)))  *  (1 - 10^(-0.4*Calcs!$B$63*_xlfn.SEC(RADIANS(90-AE22))))  *  (  10^5.36 * (1.06+ (COS(RADIANS(AG22))^2)) + 10^(6.15 - AG22/40) )  )</f>
        <v>#N/A</v>
      </c>
      <c r="AI22" s="220" t="e">
        <f t="shared" si="10"/>
        <v>#N/A</v>
      </c>
      <c r="AJ22" s="65"/>
      <c r="AK22" s="238">
        <v>45</v>
      </c>
      <c r="AL22" s="46">
        <f t="shared" si="36"/>
        <v>1.4142135623730951</v>
      </c>
      <c r="AM22" s="220">
        <f t="shared" si="11"/>
        <v>3.6907089824744137</v>
      </c>
      <c r="AN22" s="65" t="e">
        <f t="shared" si="1"/>
        <v>#N/A</v>
      </c>
      <c r="AO22" s="64" t="e">
        <f t="shared" si="2"/>
        <v>#N/A</v>
      </c>
      <c r="AP22" s="65" t="e">
        <f t="shared" si="3"/>
        <v>#N/A</v>
      </c>
      <c r="AQ22" s="64" t="e">
        <f t="shared" si="4"/>
        <v>#N/A</v>
      </c>
      <c r="AR22" s="64" t="e">
        <f t="shared" si="5"/>
        <v>#N/A</v>
      </c>
      <c r="AS22" s="35" t="e">
        <f t="shared" si="6"/>
        <v>#N/A</v>
      </c>
      <c r="AT22" s="35" t="e">
        <f t="shared" si="7"/>
        <v>#N/A</v>
      </c>
      <c r="AU22" t="e">
        <f t="shared" si="12"/>
        <v>#N/A</v>
      </c>
      <c r="AV22" s="35">
        <f t="shared" si="13"/>
        <v>13.55</v>
      </c>
      <c r="AW22" s="212">
        <f t="shared" si="14"/>
        <v>59.966666666666661</v>
      </c>
      <c r="AY22" s="29">
        <f t="shared" si="37"/>
        <v>7.5</v>
      </c>
      <c r="AZ22" s="3">
        <f t="shared" si="15"/>
        <v>-70.216608924255567</v>
      </c>
      <c r="BA22" s="3">
        <f t="shared" si="16"/>
        <v>60.925913324459515</v>
      </c>
      <c r="BB22" s="3">
        <f t="shared" si="17"/>
        <v>62.899635186501051</v>
      </c>
      <c r="BC22" s="3">
        <f t="shared" si="18"/>
        <v>41.295467723258717</v>
      </c>
      <c r="BD22" s="3" t="e">
        <f t="shared" si="19"/>
        <v>#N/A</v>
      </c>
      <c r="BE22" s="3">
        <f t="shared" si="20"/>
        <v>41.36888016113874</v>
      </c>
      <c r="BF22" s="3">
        <f t="shared" si="21"/>
        <v>57.67361214014722</v>
      </c>
      <c r="BG22" s="3">
        <f t="shared" si="22"/>
        <v>-5.9156010443437497</v>
      </c>
      <c r="BH22" s="3">
        <f t="shared" si="23"/>
        <v>67.768593470039391</v>
      </c>
      <c r="BI22" s="3">
        <f t="shared" si="24"/>
        <v>29.241601657996871</v>
      </c>
      <c r="BJ22" s="3">
        <f t="shared" si="25"/>
        <v>49.445474816164314</v>
      </c>
      <c r="BK22" s="3" t="e">
        <f t="shared" si="26"/>
        <v>#N/A</v>
      </c>
      <c r="BL22" s="3">
        <f t="shared" si="27"/>
        <v>61.947277502983511</v>
      </c>
      <c r="BM22" s="3" t="e">
        <f t="shared" si="28"/>
        <v>#N/A</v>
      </c>
      <c r="BN22" s="3">
        <f t="shared" si="29"/>
        <v>66.348835294614076</v>
      </c>
      <c r="BO22" s="3">
        <f t="shared" si="30"/>
        <v>50.875985784871006</v>
      </c>
      <c r="BP22" s="3">
        <f t="shared" si="31"/>
        <v>61.27126050585165</v>
      </c>
      <c r="BQ22" s="3" t="e">
        <f t="shared" si="32"/>
        <v>#N/A</v>
      </c>
      <c r="BR22" s="3" t="e">
        <f t="shared" si="33"/>
        <v>#N/A</v>
      </c>
      <c r="BS22" s="3">
        <f t="shared" si="34"/>
        <v>44.820935056484529</v>
      </c>
      <c r="BT22" s="7">
        <f t="shared" si="35"/>
        <v>26.003499471464806</v>
      </c>
    </row>
    <row r="23" spans="1:72" ht="17" thickBot="1" x14ac:dyDescent="0.25">
      <c r="A23" s="189" t="s">
        <v>201</v>
      </c>
      <c r="B23" s="43">
        <f>Calcs!B59</f>
        <v>7.5810690216125409E-3</v>
      </c>
      <c r="C23" s="15" t="s">
        <v>17</v>
      </c>
      <c r="K23" s="1"/>
      <c r="V23" s="24">
        <v>19</v>
      </c>
      <c r="W23" s="51" t="s">
        <v>313</v>
      </c>
      <c r="X23" s="52" t="s">
        <v>112</v>
      </c>
      <c r="Y23" s="51">
        <v>2</v>
      </c>
      <c r="Z23" s="52"/>
      <c r="AA23" s="159">
        <v>14.26</v>
      </c>
      <c r="AB23" s="159">
        <v>56.25</v>
      </c>
      <c r="AC23" s="53">
        <v>1.7</v>
      </c>
      <c r="AD23" s="53">
        <v>3.8</v>
      </c>
      <c r="AE23" s="18">
        <f t="shared" si="0"/>
        <v>3.7291320459990223</v>
      </c>
      <c r="AF23" s="96">
        <f t="shared" si="8"/>
        <v>11.820504612419661</v>
      </c>
      <c r="AG23" s="18" t="e">
        <f t="shared" si="9"/>
        <v>#N/A</v>
      </c>
      <c r="AH23" s="18" t="e">
        <f>IF(OR($AE$4&lt;0,AE23&lt;0),NA(),  Calcs!$B$62*10^(-0.4*Calcs!$B$63*_xlfn.SEC(RADIANS(90-$AE$4)))  *  (1 - 10^(-0.4*Calcs!$B$63*_xlfn.SEC(RADIANS(90-AE23))))  *  (  10^5.36 * (1.06+ (COS(RADIANS(AG23))^2)) + 10^(6.15 - AG23/40) )  )</f>
        <v>#N/A</v>
      </c>
      <c r="AI23" s="220" t="e">
        <f t="shared" si="10"/>
        <v>#N/A</v>
      </c>
      <c r="AJ23" s="65"/>
      <c r="AK23" s="238">
        <v>45</v>
      </c>
      <c r="AL23" s="46">
        <f t="shared" si="36"/>
        <v>1.4142135623730951</v>
      </c>
      <c r="AM23" s="220">
        <f t="shared" si="11"/>
        <v>3.7654267094813232</v>
      </c>
      <c r="AN23" s="65">
        <f t="shared" si="1"/>
        <v>-9.7205046124196617</v>
      </c>
      <c r="AO23" s="64">
        <f t="shared" si="2"/>
        <v>18.150562935656453</v>
      </c>
      <c r="AP23" s="65">
        <f t="shared" si="3"/>
        <v>11.287171279086328</v>
      </c>
      <c r="AQ23" s="64">
        <f t="shared" si="4"/>
        <v>66.283333333333331</v>
      </c>
      <c r="AR23" s="64">
        <f t="shared" si="5"/>
        <v>-28.288449097379409</v>
      </c>
      <c r="AS23" s="35">
        <f t="shared" si="6"/>
        <v>-0.29860756167353492</v>
      </c>
      <c r="AT23" s="35">
        <f t="shared" si="7"/>
        <v>0.91086813852641713</v>
      </c>
      <c r="AU23" t="e">
        <f t="shared" si="12"/>
        <v>#N/A</v>
      </c>
      <c r="AV23" s="35">
        <f t="shared" si="13"/>
        <v>14.433333333333334</v>
      </c>
      <c r="AW23" s="212">
        <f t="shared" si="14"/>
        <v>56.416666666666664</v>
      </c>
      <c r="AY23" s="29">
        <f t="shared" si="37"/>
        <v>8</v>
      </c>
      <c r="AZ23" s="3">
        <f t="shared" si="15"/>
        <v>-66.902056263995831</v>
      </c>
      <c r="BA23" s="3">
        <f t="shared" si="16"/>
        <v>67.064118162795253</v>
      </c>
      <c r="BB23" s="3">
        <f t="shared" si="17"/>
        <v>64.347880754914186</v>
      </c>
      <c r="BC23" s="3">
        <f t="shared" si="18"/>
        <v>47.161864568193259</v>
      </c>
      <c r="BD23" s="3" t="e">
        <f t="shared" si="19"/>
        <v>#N/A</v>
      </c>
      <c r="BE23" s="3">
        <f t="shared" si="20"/>
        <v>47.668166827141249</v>
      </c>
      <c r="BF23" s="3">
        <f t="shared" si="21"/>
        <v>63.802806553212719</v>
      </c>
      <c r="BG23" s="3">
        <f t="shared" si="22"/>
        <v>-12.220674791506177</v>
      </c>
      <c r="BH23" s="3">
        <f t="shared" si="23"/>
        <v>68.657180188390925</v>
      </c>
      <c r="BI23" s="3">
        <f t="shared" si="24"/>
        <v>24.963924482649972</v>
      </c>
      <c r="BJ23" s="3">
        <f t="shared" si="25"/>
        <v>43.327356616488998</v>
      </c>
      <c r="BK23" s="3" t="e">
        <f t="shared" si="26"/>
        <v>#N/A</v>
      </c>
      <c r="BL23" s="3">
        <f t="shared" si="27"/>
        <v>56.333461349426422</v>
      </c>
      <c r="BM23" s="3" t="e">
        <f t="shared" si="28"/>
        <v>#N/A</v>
      </c>
      <c r="BN23" s="3">
        <f t="shared" si="29"/>
        <v>68.337809009527021</v>
      </c>
      <c r="BO23" s="3">
        <f t="shared" si="30"/>
        <v>52.039828294426592</v>
      </c>
      <c r="BP23" s="3">
        <f t="shared" si="31"/>
        <v>67.064430670633556</v>
      </c>
      <c r="BQ23" s="3" t="e">
        <f t="shared" si="32"/>
        <v>#N/A</v>
      </c>
      <c r="BR23" s="3" t="e">
        <f t="shared" si="33"/>
        <v>#N/A</v>
      </c>
      <c r="BS23" s="3">
        <f t="shared" si="34"/>
        <v>48.899478599114602</v>
      </c>
      <c r="BT23" s="7">
        <f t="shared" si="35"/>
        <v>28.401251035839813</v>
      </c>
    </row>
    <row r="24" spans="1:72" ht="17" thickBot="1" x14ac:dyDescent="0.25">
      <c r="V24" s="26">
        <v>20</v>
      </c>
      <c r="W24" s="144" t="s">
        <v>312</v>
      </c>
      <c r="X24" s="52" t="s">
        <v>112</v>
      </c>
      <c r="Y24" s="51">
        <v>2</v>
      </c>
      <c r="Z24" s="145"/>
      <c r="AA24" s="234">
        <v>17.34</v>
      </c>
      <c r="AB24" s="234">
        <v>69.55</v>
      </c>
      <c r="AC24" s="53">
        <v>1.7</v>
      </c>
      <c r="AD24" s="146">
        <v>3.1</v>
      </c>
      <c r="AE24" s="148">
        <f t="shared" si="0"/>
        <v>13.039133396713426</v>
      </c>
      <c r="AF24" s="149">
        <f t="shared" si="8"/>
        <v>14.253837945752995</v>
      </c>
      <c r="AG24" s="148" t="e">
        <f t="shared" si="9"/>
        <v>#N/A</v>
      </c>
      <c r="AH24" s="148" t="e">
        <f>IF(OR($AE$4&lt;0,AE24&lt;0),NA(),  Calcs!$B$62*10^(-0.4*Calcs!$B$63*_xlfn.SEC(RADIANS(90-$AE$4)))  *  (1 - 10^(-0.4*Calcs!$B$63*_xlfn.SEC(RADIANS(90-AE24))))  *  (  10^5.36 * (1.06+ (COS(RADIANS(AG24))^2)) + 10^(6.15 - AG24/40) )  )</f>
        <v>#N/A</v>
      </c>
      <c r="AI24" s="221" t="e">
        <f t="shared" si="10"/>
        <v>#N/A</v>
      </c>
      <c r="AJ24" s="65"/>
      <c r="AK24" s="239">
        <v>45</v>
      </c>
      <c r="AL24" s="199">
        <f t="shared" si="36"/>
        <v>1.4142135623730951</v>
      </c>
      <c r="AM24" s="221">
        <f t="shared" si="11"/>
        <v>3.0852685712615306</v>
      </c>
      <c r="AN24" s="32">
        <f t="shared" si="1"/>
        <v>11.146162054247005</v>
      </c>
      <c r="AO24" s="33">
        <f t="shared" si="2"/>
        <v>355.51859000765256</v>
      </c>
      <c r="AP24" s="32">
        <f t="shared" si="3"/>
        <v>14.420504612419661</v>
      </c>
      <c r="AQ24" s="33">
        <f t="shared" si="4"/>
        <v>52.783333333333346</v>
      </c>
      <c r="AR24" s="33">
        <f t="shared" si="5"/>
        <v>11.039224117704359</v>
      </c>
      <c r="AS24" s="48">
        <f t="shared" si="6"/>
        <v>6.6815401985421269E-2</v>
      </c>
      <c r="AT24" s="48">
        <f t="shared" si="7"/>
        <v>0.8525064117636465</v>
      </c>
      <c r="AU24" s="9" t="e">
        <f t="shared" si="12"/>
        <v>#N/A</v>
      </c>
      <c r="AV24" s="48">
        <f t="shared" si="13"/>
        <v>17.566666666666666</v>
      </c>
      <c r="AW24" s="213">
        <f t="shared" si="14"/>
        <v>69.916666666666657</v>
      </c>
      <c r="AY24" s="29">
        <f t="shared" si="37"/>
        <v>8.5</v>
      </c>
      <c r="AZ24" s="3">
        <f t="shared" si="15"/>
        <v>-62.278637111804599</v>
      </c>
      <c r="BA24" s="3">
        <f t="shared" si="16"/>
        <v>73.218606889190042</v>
      </c>
      <c r="BB24" s="3">
        <f t="shared" si="17"/>
        <v>64.832993215933456</v>
      </c>
      <c r="BC24" s="3">
        <f t="shared" si="18"/>
        <v>53.092236877534297</v>
      </c>
      <c r="BD24" s="3" t="e">
        <f t="shared" si="19"/>
        <v>#N/A</v>
      </c>
      <c r="BE24" s="3">
        <f t="shared" si="20"/>
        <v>53.915098864979406</v>
      </c>
      <c r="BF24" s="3">
        <f t="shared" si="21"/>
        <v>69.661708789073387</v>
      </c>
      <c r="BG24" s="3">
        <f t="shared" si="22"/>
        <v>-18.527605524792175</v>
      </c>
      <c r="BH24" s="3">
        <f t="shared" si="23"/>
        <v>67.377705359922402</v>
      </c>
      <c r="BI24" s="3">
        <f t="shared" si="24"/>
        <v>20.839101306750873</v>
      </c>
      <c r="BJ24" s="3">
        <f t="shared" si="25"/>
        <v>37.093340400778956</v>
      </c>
      <c r="BK24" s="3" t="e">
        <f t="shared" si="26"/>
        <v>#N/A</v>
      </c>
      <c r="BL24" s="3">
        <f t="shared" si="27"/>
        <v>50.706059695498553</v>
      </c>
      <c r="BM24" s="3" t="e">
        <f t="shared" si="28"/>
        <v>#N/A</v>
      </c>
      <c r="BN24" s="3">
        <f t="shared" si="29"/>
        <v>69.112864968259387</v>
      </c>
      <c r="BO24" s="3">
        <f t="shared" si="30"/>
        <v>52.775506189126958</v>
      </c>
      <c r="BP24" s="3">
        <f t="shared" si="31"/>
        <v>72.7578481916306</v>
      </c>
      <c r="BQ24" s="3" t="e">
        <f t="shared" si="32"/>
        <v>#N/A</v>
      </c>
      <c r="BR24" s="3" t="e">
        <f t="shared" si="33"/>
        <v>#N/A</v>
      </c>
      <c r="BS24" s="3">
        <f t="shared" si="34"/>
        <v>52.84727875544386</v>
      </c>
      <c r="BT24" s="7">
        <f t="shared" si="35"/>
        <v>30.890835156046588</v>
      </c>
    </row>
    <row r="25" spans="1:72" x14ac:dyDescent="0.2">
      <c r="AY25" s="29">
        <f>AY24+0.5</f>
        <v>9</v>
      </c>
      <c r="AZ25" s="3">
        <f t="shared" si="15"/>
        <v>-56.900681184640575</v>
      </c>
      <c r="BA25" s="3">
        <f t="shared" si="16"/>
        <v>79.35276932145949</v>
      </c>
      <c r="BB25" s="3">
        <f t="shared" si="17"/>
        <v>64.295991040817498</v>
      </c>
      <c r="BC25" s="3">
        <f t="shared" si="18"/>
        <v>59.068769733857948</v>
      </c>
      <c r="BD25" s="3" t="e">
        <f t="shared" si="19"/>
        <v>#N/A</v>
      </c>
      <c r="BE25" s="3">
        <f t="shared" si="20"/>
        <v>60.041788754558588</v>
      </c>
      <c r="BF25" s="3">
        <f t="shared" si="21"/>
        <v>74.896209861268446</v>
      </c>
      <c r="BG25" s="3">
        <f t="shared" si="22"/>
        <v>-24.803050270659345</v>
      </c>
      <c r="BH25" s="3">
        <f t="shared" si="23"/>
        <v>64.254151302372676</v>
      </c>
      <c r="BI25" s="3">
        <f t="shared" si="24"/>
        <v>16.901051217696054</v>
      </c>
      <c r="BJ25" s="3">
        <f t="shared" si="25"/>
        <v>30.800953119140157</v>
      </c>
      <c r="BK25" s="3" t="e">
        <f t="shared" si="26"/>
        <v>#N/A</v>
      </c>
      <c r="BL25" s="3">
        <f t="shared" si="27"/>
        <v>45.1050048414603</v>
      </c>
      <c r="BM25" s="3" t="e">
        <f t="shared" si="28"/>
        <v>#N/A</v>
      </c>
      <c r="BN25" s="3">
        <f t="shared" si="29"/>
        <v>68.535652244782582</v>
      </c>
      <c r="BO25" s="3">
        <f t="shared" si="30"/>
        <v>53.048679291450199</v>
      </c>
      <c r="BP25" s="3">
        <f t="shared" si="31"/>
        <v>78.145411525068795</v>
      </c>
      <c r="BQ25" s="3" t="e">
        <f t="shared" si="32"/>
        <v>#N/A</v>
      </c>
      <c r="BR25" s="3" t="e">
        <f t="shared" si="33"/>
        <v>#N/A</v>
      </c>
      <c r="BS25" s="3">
        <f t="shared" si="34"/>
        <v>56.570365067198729</v>
      </c>
      <c r="BT25" s="7">
        <f t="shared" si="35"/>
        <v>33.439878992470177</v>
      </c>
    </row>
    <row r="26" spans="1:72" x14ac:dyDescent="0.2">
      <c r="AY26" s="29">
        <f t="shared" si="37"/>
        <v>9.5</v>
      </c>
      <c r="AZ26" s="3">
        <f t="shared" si="15"/>
        <v>-51.092698537767014</v>
      </c>
      <c r="BA26" s="3">
        <f t="shared" si="16"/>
        <v>85.286217999056788</v>
      </c>
      <c r="BB26" s="3">
        <f t="shared" si="17"/>
        <v>62.801928741758879</v>
      </c>
      <c r="BC26" s="3">
        <f t="shared" si="18"/>
        <v>65.070438137259643</v>
      </c>
      <c r="BD26" s="3" t="e">
        <f t="shared" si="19"/>
        <v>#N/A</v>
      </c>
      <c r="BE26" s="3">
        <f t="shared" si="20"/>
        <v>65.922527259669423</v>
      </c>
      <c r="BF26" s="3">
        <f t="shared" si="21"/>
        <v>78.579371419008623</v>
      </c>
      <c r="BG26" s="3">
        <f t="shared" si="22"/>
        <v>-31.007704859920722</v>
      </c>
      <c r="BH26" s="3">
        <f t="shared" si="23"/>
        <v>59.860889774534904</v>
      </c>
      <c r="BI26" s="3">
        <f t="shared" si="24"/>
        <v>13.184343951493871</v>
      </c>
      <c r="BJ26" s="3">
        <f t="shared" si="25"/>
        <v>24.490944094640511</v>
      </c>
      <c r="BK26" s="3" t="e">
        <f t="shared" si="26"/>
        <v>#N/A</v>
      </c>
      <c r="BL26" s="3">
        <f t="shared" si="27"/>
        <v>39.55968962243422</v>
      </c>
      <c r="BM26" s="3" t="e">
        <f t="shared" si="28"/>
        <v>#N/A</v>
      </c>
      <c r="BN26" s="3">
        <f t="shared" si="29"/>
        <v>66.710854967299696</v>
      </c>
      <c r="BO26" s="3">
        <f t="shared" si="30"/>
        <v>52.845974062293706</v>
      </c>
      <c r="BP26" s="3">
        <f t="shared" si="31"/>
        <v>82.469101964834053</v>
      </c>
      <c r="BQ26" s="3" t="e">
        <f t="shared" si="32"/>
        <v>#N/A</v>
      </c>
      <c r="BR26" s="3" t="e">
        <f t="shared" si="33"/>
        <v>#N/A</v>
      </c>
      <c r="BS26" s="3">
        <f t="shared" si="34"/>
        <v>59.941979706001703</v>
      </c>
      <c r="BT26" s="7">
        <f t="shared" si="35"/>
        <v>36.013236593710602</v>
      </c>
    </row>
    <row r="27" spans="1:72" x14ac:dyDescent="0.2">
      <c r="AY27" s="29">
        <f>AY26+0.5</f>
        <v>10</v>
      </c>
      <c r="AZ27" s="3">
        <f t="shared" si="15"/>
        <v>-45.03617572231542</v>
      </c>
      <c r="BA27" s="3">
        <f t="shared" si="16"/>
        <v>87.055110050852576</v>
      </c>
      <c r="BB27" s="3">
        <f t="shared" si="17"/>
        <v>60.508189295388753</v>
      </c>
      <c r="BC27" s="3">
        <f t="shared" si="18"/>
        <v>71.065399116645096</v>
      </c>
      <c r="BD27" s="3" t="e">
        <f t="shared" si="19"/>
        <v>#N/A</v>
      </c>
      <c r="BE27" s="3">
        <f t="shared" si="20"/>
        <v>71.291394214581416</v>
      </c>
      <c r="BF27" s="3">
        <f t="shared" si="21"/>
        <v>79.003318972180139</v>
      </c>
      <c r="BG27" s="3">
        <f t="shared" si="22"/>
        <v>-37.091069685709762</v>
      </c>
      <c r="BH27" s="3">
        <f t="shared" si="23"/>
        <v>54.677712266834781</v>
      </c>
      <c r="BI27" s="3">
        <f t="shared" si="24"/>
        <v>9.7245547532759939</v>
      </c>
      <c r="BJ27" s="3">
        <f t="shared" si="25"/>
        <v>18.195508153248344</v>
      </c>
      <c r="BK27" s="3" t="e">
        <f t="shared" si="26"/>
        <v>#N/A</v>
      </c>
      <c r="BL27" s="3">
        <f t="shared" si="27"/>
        <v>34.095340370224662</v>
      </c>
      <c r="BM27" s="3" t="e">
        <f t="shared" si="28"/>
        <v>#N/A</v>
      </c>
      <c r="BN27" s="3">
        <f t="shared" si="29"/>
        <v>63.911984632476404</v>
      </c>
      <c r="BO27" s="3">
        <f t="shared" si="30"/>
        <v>52.177347582849507</v>
      </c>
      <c r="BP27" s="3">
        <f t="shared" si="31"/>
        <v>83.192435396399176</v>
      </c>
      <c r="BQ27" s="3" t="e">
        <f t="shared" si="32"/>
        <v>#N/A</v>
      </c>
      <c r="BR27" s="3" t="e">
        <f t="shared" si="33"/>
        <v>#N/A</v>
      </c>
      <c r="BS27" s="3">
        <f t="shared" si="34"/>
        <v>62.793650509468407</v>
      </c>
      <c r="BT27" s="7">
        <f t="shared" si="35"/>
        <v>38.572456218617496</v>
      </c>
    </row>
    <row r="28" spans="1:72" x14ac:dyDescent="0.2">
      <c r="AO28" s="195"/>
      <c r="AP28" s="195"/>
      <c r="AY28" s="29">
        <f t="shared" si="37"/>
        <v>10.5</v>
      </c>
      <c r="AZ28" s="3">
        <f t="shared" si="15"/>
        <v>-38.836731401420941</v>
      </c>
      <c r="BA28" s="3">
        <f t="shared" si="16"/>
        <v>81.468091084354654</v>
      </c>
      <c r="BB28" s="3">
        <f t="shared" si="17"/>
        <v>57.602873414458607</v>
      </c>
      <c r="BC28" s="3">
        <f t="shared" si="18"/>
        <v>76.983495358167318</v>
      </c>
      <c r="BD28" s="3" t="e">
        <f t="shared" si="19"/>
        <v>#N/A</v>
      </c>
      <c r="BE28" s="3">
        <f t="shared" si="20"/>
        <v>75.536652534900611</v>
      </c>
      <c r="BF28" s="3">
        <f t="shared" si="21"/>
        <v>75.870310686849052</v>
      </c>
      <c r="BG28" s="3">
        <f t="shared" si="22"/>
        <v>-42.983434605113551</v>
      </c>
      <c r="BH28" s="3">
        <f t="shared" si="23"/>
        <v>49.014703452748599</v>
      </c>
      <c r="BI28" s="3">
        <f t="shared" si="24"/>
        <v>6.5582408806425709</v>
      </c>
      <c r="BJ28" s="3">
        <f t="shared" si="25"/>
        <v>11.943113786791313</v>
      </c>
      <c r="BK28" s="3" t="e">
        <f t="shared" si="26"/>
        <v>#N/A</v>
      </c>
      <c r="BL28" s="3">
        <f t="shared" si="27"/>
        <v>28.736155868639038</v>
      </c>
      <c r="BM28" s="3" t="e">
        <f t="shared" si="28"/>
        <v>#N/A</v>
      </c>
      <c r="BN28" s="3">
        <f t="shared" si="29"/>
        <v>60.434169790863017</v>
      </c>
      <c r="BO28" s="3">
        <f t="shared" si="30"/>
        <v>51.074316182661306</v>
      </c>
      <c r="BP28" s="3">
        <f t="shared" si="31"/>
        <v>79.536805897149677</v>
      </c>
      <c r="BQ28" s="3" t="e">
        <f t="shared" si="32"/>
        <v>#N/A</v>
      </c>
      <c r="BR28" s="3" t="e">
        <f t="shared" si="33"/>
        <v>#N/A</v>
      </c>
      <c r="BS28" s="3">
        <f t="shared" si="34"/>
        <v>64.917216504697919</v>
      </c>
      <c r="BT28" s="7">
        <f t="shared" si="35"/>
        <v>41.075182593865151</v>
      </c>
    </row>
    <row r="29" spans="1:72" x14ac:dyDescent="0.2">
      <c r="AO29" s="55"/>
      <c r="AY29" s="29">
        <f t="shared" si="37"/>
        <v>11</v>
      </c>
      <c r="AZ29" s="3">
        <f t="shared" si="15"/>
        <v>-32.560526477767652</v>
      </c>
      <c r="BA29" s="3">
        <f t="shared" si="16"/>
        <v>75.363035645528285</v>
      </c>
      <c r="BB29" s="3">
        <f t="shared" si="17"/>
        <v>54.258831552380308</v>
      </c>
      <c r="BC29" s="3">
        <f t="shared" si="18"/>
        <v>82.562837483293166</v>
      </c>
      <c r="BD29" s="3" t="e">
        <f t="shared" si="19"/>
        <v>#N/A</v>
      </c>
      <c r="BE29" s="3">
        <f t="shared" si="20"/>
        <v>77.440140364095143</v>
      </c>
      <c r="BF29" s="3">
        <f t="shared" si="21"/>
        <v>70.860949991917138</v>
      </c>
      <c r="BG29" s="3">
        <f t="shared" si="22"/>
        <v>-48.583132520904051</v>
      </c>
      <c r="BH29" s="3">
        <f t="shared" si="23"/>
        <v>43.058813041902198</v>
      </c>
      <c r="BI29" s="3">
        <f t="shared" si="24"/>
        <v>3.722529296308875</v>
      </c>
      <c r="BJ29" s="3">
        <f t="shared" si="25"/>
        <v>5.7617117930414619</v>
      </c>
      <c r="BK29" s="3" t="e">
        <f t="shared" si="26"/>
        <v>#N/A</v>
      </c>
      <c r="BL29" s="3">
        <f t="shared" si="27"/>
        <v>23.507108596177591</v>
      </c>
      <c r="BM29" s="3" t="e">
        <f t="shared" si="28"/>
        <v>#N/A</v>
      </c>
      <c r="BN29" s="3">
        <f t="shared" si="29"/>
        <v>56.513448860973426</v>
      </c>
      <c r="BO29" s="3">
        <f t="shared" si="30"/>
        <v>49.584779227978878</v>
      </c>
      <c r="BP29" s="3">
        <f t="shared" si="31"/>
        <v>74.323768877489485</v>
      </c>
      <c r="BQ29" s="3" t="e">
        <f t="shared" si="32"/>
        <v>#N/A</v>
      </c>
      <c r="BR29" s="3" t="e">
        <f t="shared" si="33"/>
        <v>#N/A</v>
      </c>
      <c r="BS29" s="3">
        <f t="shared" si="34"/>
        <v>66.096718629737978</v>
      </c>
      <c r="BT29" s="7">
        <f t="shared" si="35"/>
        <v>43.47460831423215</v>
      </c>
    </row>
    <row r="30" spans="1:72" x14ac:dyDescent="0.2">
      <c r="AO30" s="195"/>
      <c r="AP30" s="195"/>
      <c r="AY30" s="29">
        <f t="shared" si="37"/>
        <v>11.5</v>
      </c>
      <c r="AZ30" s="3">
        <f t="shared" si="15"/>
        <v>-26.252976378463654</v>
      </c>
      <c r="BA30" s="3">
        <f t="shared" si="16"/>
        <v>69.209446741977899</v>
      </c>
      <c r="BB30" s="3">
        <f t="shared" si="17"/>
        <v>50.616209453176808</v>
      </c>
      <c r="BC30" s="3">
        <f t="shared" si="18"/>
        <v>85.899727435609279</v>
      </c>
      <c r="BD30" s="3" t="e">
        <f t="shared" si="19"/>
        <v>#N/A</v>
      </c>
      <c r="BE30" s="3">
        <f t="shared" si="20"/>
        <v>76.004451187624539</v>
      </c>
      <c r="BF30" s="3">
        <f t="shared" si="21"/>
        <v>65.094883954309452</v>
      </c>
      <c r="BG30" s="3">
        <f t="shared" si="22"/>
        <v>-53.736606808279163</v>
      </c>
      <c r="BH30" s="3">
        <f t="shared" si="23"/>
        <v>36.924298812720941</v>
      </c>
      <c r="BI30" s="3">
        <f t="shared" si="24"/>
        <v>1.2542974042325394</v>
      </c>
      <c r="BJ30" s="3">
        <f t="shared" si="25"/>
        <v>-0.3187640128336689</v>
      </c>
      <c r="BK30" s="3" t="e">
        <f t="shared" si="26"/>
        <v>#N/A</v>
      </c>
      <c r="BL30" s="3">
        <f t="shared" si="27"/>
        <v>18.435144683131135</v>
      </c>
      <c r="BM30" s="3" t="e">
        <f t="shared" si="28"/>
        <v>#N/A</v>
      </c>
      <c r="BN30" s="3">
        <f t="shared" si="29"/>
        <v>52.317445373207192</v>
      </c>
      <c r="BO30" s="3">
        <f t="shared" si="30"/>
        <v>47.766368144497882</v>
      </c>
      <c r="BP30" s="3">
        <f t="shared" si="31"/>
        <v>68.685338069876423</v>
      </c>
      <c r="BQ30" s="3" t="e">
        <f t="shared" si="32"/>
        <v>#N/A</v>
      </c>
      <c r="BR30" s="3" t="e">
        <f t="shared" si="33"/>
        <v>#N/A</v>
      </c>
      <c r="BS30" s="3">
        <f t="shared" si="34"/>
        <v>66.180641025131663</v>
      </c>
      <c r="BT30" s="7">
        <f t="shared" si="35"/>
        <v>45.719177908685054</v>
      </c>
    </row>
    <row r="31" spans="1:72" x14ac:dyDescent="0.2">
      <c r="AO31" s="35"/>
      <c r="AY31" s="29">
        <f t="shared" si="37"/>
        <v>12</v>
      </c>
      <c r="AZ31" s="3">
        <f t="shared" si="15"/>
        <v>-19.948689835251908</v>
      </c>
      <c r="BA31" s="3">
        <f t="shared" si="16"/>
        <v>63.06308531045859</v>
      </c>
      <c r="BB31" s="3">
        <f t="shared" si="17"/>
        <v>46.782966821173474</v>
      </c>
      <c r="BC31" s="3">
        <f t="shared" si="18"/>
        <v>82.641485795193063</v>
      </c>
      <c r="BD31" s="3" t="e">
        <f t="shared" si="19"/>
        <v>#N/A</v>
      </c>
      <c r="BE31" s="3">
        <f t="shared" si="20"/>
        <v>72.015779269050228</v>
      </c>
      <c r="BF31" s="3">
        <f t="shared" si="21"/>
        <v>59.007337645328676</v>
      </c>
      <c r="BG31" s="3">
        <f t="shared" si="22"/>
        <v>-58.210805825871333</v>
      </c>
      <c r="BH31" s="3">
        <f t="shared" si="23"/>
        <v>30.684650900528961</v>
      </c>
      <c r="BI31" s="3">
        <f t="shared" si="24"/>
        <v>-0.8110497278087152</v>
      </c>
      <c r="BJ31" s="3">
        <f t="shared" si="25"/>
        <v>-6.2640901360702443</v>
      </c>
      <c r="BK31" s="3" t="e">
        <f t="shared" si="26"/>
        <v>#N/A</v>
      </c>
      <c r="BL31" s="3">
        <f t="shared" si="27"/>
        <v>13.550084631292354</v>
      </c>
      <c r="BM31" s="3" t="e">
        <f t="shared" si="28"/>
        <v>#N/A</v>
      </c>
      <c r="BN31" s="3">
        <f t="shared" si="29"/>
        <v>47.962041621036306</v>
      </c>
      <c r="BO31" s="3">
        <f t="shared" si="30"/>
        <v>45.680283331717696</v>
      </c>
      <c r="BP31" s="3">
        <f t="shared" si="31"/>
        <v>62.909543396270436</v>
      </c>
      <c r="BQ31" s="3" t="e">
        <f t="shared" si="32"/>
        <v>#N/A</v>
      </c>
      <c r="BR31" s="3" t="e">
        <f t="shared" si="33"/>
        <v>#N/A</v>
      </c>
      <c r="BS31" s="3">
        <f t="shared" si="34"/>
        <v>65.157164286141821</v>
      </c>
      <c r="BT31" s="7">
        <f t="shared" si="35"/>
        <v>47.752867690600226</v>
      </c>
    </row>
    <row r="32" spans="1:72" x14ac:dyDescent="0.2">
      <c r="AN32" s="1"/>
      <c r="AO32" s="1"/>
      <c r="AP32" s="1"/>
      <c r="AQ32" s="16"/>
      <c r="AR32" s="16"/>
      <c r="AY32" s="29">
        <f t="shared" si="37"/>
        <v>12.5</v>
      </c>
      <c r="AZ32" s="3">
        <f t="shared" si="15"/>
        <v>-13.677150992021119</v>
      </c>
      <c r="BA32" s="3">
        <f t="shared" si="16"/>
        <v>56.945641287133014</v>
      </c>
      <c r="BB32" s="3">
        <f t="shared" si="17"/>
        <v>42.841716265707539</v>
      </c>
      <c r="BC32" s="3">
        <f t="shared" si="18"/>
        <v>77.072949907533783</v>
      </c>
      <c r="BD32" s="3" t="e">
        <f t="shared" si="19"/>
        <v>#N/A</v>
      </c>
      <c r="BE32" s="3">
        <f t="shared" si="20"/>
        <v>66.762687800597064</v>
      </c>
      <c r="BF32" s="3">
        <f t="shared" si="21"/>
        <v>52.774221887921094</v>
      </c>
      <c r="BG32" s="3">
        <f t="shared" si="22"/>
        <v>-61.669634852599025</v>
      </c>
      <c r="BH32" s="3">
        <f t="shared" si="23"/>
        <v>24.390662298118876</v>
      </c>
      <c r="BI32" s="3">
        <f t="shared" si="24"/>
        <v>-2.441150644923114</v>
      </c>
      <c r="BJ32" s="3">
        <f t="shared" si="25"/>
        <v>-12.033317916789906</v>
      </c>
      <c r="BK32" s="3" t="e">
        <f t="shared" si="26"/>
        <v>#N/A</v>
      </c>
      <c r="BL32" s="3">
        <f t="shared" si="27"/>
        <v>8.8853373762937551</v>
      </c>
      <c r="BM32" s="3" t="e">
        <f t="shared" si="28"/>
        <v>#N/A</v>
      </c>
      <c r="BN32" s="3">
        <f t="shared" si="29"/>
        <v>43.529169610745555</v>
      </c>
      <c r="BO32" s="3">
        <f t="shared" si="30"/>
        <v>43.386765527327171</v>
      </c>
      <c r="BP32" s="3">
        <f t="shared" si="31"/>
        <v>57.096008589322359</v>
      </c>
      <c r="BQ32" s="3" t="e">
        <f t="shared" si="32"/>
        <v>#N/A</v>
      </c>
      <c r="BR32" s="3" t="e">
        <f t="shared" si="33"/>
        <v>#N/A</v>
      </c>
      <c r="BS32" s="3">
        <f t="shared" si="34"/>
        <v>63.160881268938596</v>
      </c>
      <c r="BT32" s="7">
        <f t="shared" si="35"/>
        <v>49.516483298021015</v>
      </c>
    </row>
    <row r="33" spans="2:72" x14ac:dyDescent="0.2">
      <c r="AN33" s="1"/>
      <c r="AO33" s="1"/>
      <c r="AP33" s="1"/>
      <c r="AY33" s="29">
        <f t="shared" si="37"/>
        <v>13</v>
      </c>
      <c r="AZ33" s="3">
        <f t="shared" si="15"/>
        <v>-7.4663449551510865</v>
      </c>
      <c r="BA33" s="3">
        <f t="shared" si="16"/>
        <v>50.872167453913001</v>
      </c>
      <c r="BB33" s="3">
        <f t="shared" si="17"/>
        <v>38.856989892997298</v>
      </c>
      <c r="BC33" s="3">
        <f t="shared" si="18"/>
        <v>71.157110066572386</v>
      </c>
      <c r="BD33" s="3" t="e">
        <f t="shared" si="19"/>
        <v>#N/A</v>
      </c>
      <c r="BE33" s="3">
        <f t="shared" si="20"/>
        <v>60.935997081409766</v>
      </c>
      <c r="BF33" s="3">
        <f t="shared" si="21"/>
        <v>46.479116372017359</v>
      </c>
      <c r="BG33" s="3">
        <f t="shared" si="22"/>
        <v>-63.70056485804578</v>
      </c>
      <c r="BH33" s="3">
        <f t="shared" si="23"/>
        <v>18.080654417675252</v>
      </c>
      <c r="BI33" s="3">
        <f t="shared" si="24"/>
        <v>-3.6084769995034138</v>
      </c>
      <c r="BJ33" s="3">
        <f t="shared" si="25"/>
        <v>-17.576000381936904</v>
      </c>
      <c r="BK33" s="3" t="e">
        <f t="shared" si="26"/>
        <v>#N/A</v>
      </c>
      <c r="BL33" s="3">
        <f t="shared" si="27"/>
        <v>4.4784377201537406</v>
      </c>
      <c r="BM33" s="3" t="e">
        <f t="shared" si="28"/>
        <v>#N/A</v>
      </c>
      <c r="BN33" s="3">
        <f t="shared" si="29"/>
        <v>39.079677503151153</v>
      </c>
      <c r="BO33" s="3">
        <f t="shared" si="30"/>
        <v>40.942425513712294</v>
      </c>
      <c r="BP33" s="3">
        <f t="shared" si="31"/>
        <v>51.292257269151293</v>
      </c>
      <c r="BQ33" s="3" t="e">
        <f t="shared" si="32"/>
        <v>#N/A</v>
      </c>
      <c r="BR33" s="3" t="e">
        <f t="shared" si="33"/>
        <v>#N/A</v>
      </c>
      <c r="BS33" s="3">
        <f t="shared" si="34"/>
        <v>60.403549110849376</v>
      </c>
      <c r="BT33" s="7">
        <f t="shared" si="35"/>
        <v>50.950447997008467</v>
      </c>
    </row>
    <row r="34" spans="2:72" x14ac:dyDescent="0.2">
      <c r="AN34" s="1"/>
      <c r="AO34" s="64"/>
      <c r="AP34" s="64"/>
      <c r="AY34" s="29">
        <f t="shared" si="37"/>
        <v>13.5</v>
      </c>
      <c r="AZ34" s="3">
        <f t="shared" si="15"/>
        <v>-1.3454404045085029</v>
      </c>
      <c r="BA34" s="3">
        <f t="shared" si="16"/>
        <v>44.856469607679003</v>
      </c>
      <c r="BB34" s="3">
        <f t="shared" si="17"/>
        <v>34.881081810835525</v>
      </c>
      <c r="BC34" s="3">
        <f t="shared" si="18"/>
        <v>65.162628949212433</v>
      </c>
      <c r="BD34" s="3" t="e">
        <f t="shared" si="19"/>
        <v>#N/A</v>
      </c>
      <c r="BE34" s="3">
        <f t="shared" si="20"/>
        <v>54.83582244574837</v>
      </c>
      <c r="BF34" s="3">
        <f t="shared" si="21"/>
        <v>40.169214292876717</v>
      </c>
      <c r="BG34" s="3">
        <f t="shared" si="22"/>
        <v>-63.962668363790094</v>
      </c>
      <c r="BH34" s="3">
        <f t="shared" si="23"/>
        <v>11.786562995096739</v>
      </c>
      <c r="BI34" s="3">
        <f t="shared" si="24"/>
        <v>-4.2921303616904538</v>
      </c>
      <c r="BJ34" s="3">
        <f t="shared" si="25"/>
        <v>-22.828998963404381</v>
      </c>
      <c r="BK34" s="3" t="e">
        <f t="shared" si="26"/>
        <v>#N/A</v>
      </c>
      <c r="BL34" s="3">
        <f t="shared" si="27"/>
        <v>0.37134434589640414</v>
      </c>
      <c r="BM34" s="3" t="e">
        <f t="shared" si="28"/>
        <v>#N/A</v>
      </c>
      <c r="BN34" s="3">
        <f t="shared" si="29"/>
        <v>34.661676008814617</v>
      </c>
      <c r="BO34" s="3">
        <f t="shared" si="30"/>
        <v>38.399089453922713</v>
      </c>
      <c r="BP34" s="3">
        <f t="shared" si="31"/>
        <v>45.52807977493849</v>
      </c>
      <c r="BQ34" s="3" t="e">
        <f t="shared" si="32"/>
        <v>#N/A</v>
      </c>
      <c r="BR34" s="3" t="e">
        <f t="shared" si="33"/>
        <v>#N/A</v>
      </c>
      <c r="BS34" s="3">
        <f t="shared" si="34"/>
        <v>57.097502009866389</v>
      </c>
      <c r="BT34" s="7">
        <f t="shared" si="35"/>
        <v>51.999349829412992</v>
      </c>
    </row>
    <row r="35" spans="2:72" x14ac:dyDescent="0.2">
      <c r="AN35" s="1"/>
      <c r="AO35" s="1"/>
      <c r="AP35" s="1"/>
      <c r="AY35" s="29">
        <f t="shared" si="37"/>
        <v>14</v>
      </c>
      <c r="AZ35" s="3">
        <f t="shared" si="15"/>
        <v>4.652859215761362</v>
      </c>
      <c r="BA35" s="3">
        <f t="shared" si="16"/>
        <v>38.912874327043554</v>
      </c>
      <c r="BB35" s="3">
        <f t="shared" si="17"/>
        <v>30.958301431830922</v>
      </c>
      <c r="BC35" s="3">
        <f t="shared" si="18"/>
        <v>59.160777724325236</v>
      </c>
      <c r="BD35" s="3" t="e">
        <f t="shared" si="19"/>
        <v>#N/A</v>
      </c>
      <c r="BE35" s="3">
        <f t="shared" si="20"/>
        <v>48.601569098604848</v>
      </c>
      <c r="BF35" s="3">
        <f t="shared" si="21"/>
        <v>33.876129580254307</v>
      </c>
      <c r="BG35" s="3">
        <f t="shared" si="22"/>
        <v>-62.404968792578053</v>
      </c>
      <c r="BH35" s="3">
        <f t="shared" si="23"/>
        <v>5.5379041529229873</v>
      </c>
      <c r="BI35" s="3">
        <f t="shared" si="24"/>
        <v>-4.479379421367593</v>
      </c>
      <c r="BJ35" s="3">
        <f t="shared" si="25"/>
        <v>-27.713026240772265</v>
      </c>
      <c r="BK35" s="3" t="e">
        <f t="shared" si="26"/>
        <v>#N/A</v>
      </c>
      <c r="BL35" s="3">
        <f t="shared" si="27"/>
        <v>-3.3896270622639806</v>
      </c>
      <c r="BM35" s="3" t="e">
        <f t="shared" si="28"/>
        <v>#N/A</v>
      </c>
      <c r="BN35" s="3">
        <f t="shared" si="29"/>
        <v>30.315813759070519</v>
      </c>
      <c r="BO35" s="3">
        <f t="shared" si="30"/>
        <v>35.803644386317004</v>
      </c>
      <c r="BP35" s="3">
        <f t="shared" si="31"/>
        <v>39.826729811114419</v>
      </c>
      <c r="BQ35" s="3" t="e">
        <f t="shared" si="32"/>
        <v>#N/A</v>
      </c>
      <c r="BR35" s="3" t="e">
        <f t="shared" si="33"/>
        <v>#N/A</v>
      </c>
      <c r="BS35" s="3">
        <f t="shared" si="34"/>
        <v>53.417721341919737</v>
      </c>
      <c r="BT35" s="7">
        <f t="shared" si="35"/>
        <v>52.617940057965384</v>
      </c>
    </row>
    <row r="36" spans="2:72" x14ac:dyDescent="0.2">
      <c r="AN36" s="1"/>
      <c r="AO36" s="196"/>
      <c r="AP36" s="196"/>
      <c r="AY36" s="29">
        <f t="shared" si="37"/>
        <v>14.5</v>
      </c>
      <c r="AZ36" s="3">
        <f t="shared" si="15"/>
        <v>10.489921292141169</v>
      </c>
      <c r="BA36" s="3">
        <f t="shared" si="16"/>
        <v>33.057122794653729</v>
      </c>
      <c r="BB36" s="3">
        <f t="shared" si="17"/>
        <v>27.127946636249092</v>
      </c>
      <c r="BC36" s="3">
        <f t="shared" si="18"/>
        <v>53.183686049868292</v>
      </c>
      <c r="BD36" s="3" t="e">
        <f t="shared" si="19"/>
        <v>#N/A</v>
      </c>
      <c r="BE36" s="3">
        <f t="shared" si="20"/>
        <v>42.306975434758954</v>
      </c>
      <c r="BF36" s="3">
        <f t="shared" si="21"/>
        <v>27.624782168712706</v>
      </c>
      <c r="BG36" s="3">
        <f t="shared" si="22"/>
        <v>-59.306166812394622</v>
      </c>
      <c r="BH36" s="3">
        <f t="shared" si="23"/>
        <v>-0.6352750834366534</v>
      </c>
      <c r="BI36" s="3">
        <f t="shared" si="24"/>
        <v>-4.1666711221259449</v>
      </c>
      <c r="BJ36" s="3">
        <f t="shared" si="25"/>
        <v>-32.129569468851599</v>
      </c>
      <c r="BK36" s="3" t="e">
        <f t="shared" si="26"/>
        <v>#N/A</v>
      </c>
      <c r="BL36" s="3">
        <f t="shared" si="27"/>
        <v>-6.7544132312488259</v>
      </c>
      <c r="BM36" s="3" t="e">
        <f t="shared" si="28"/>
        <v>#N/A</v>
      </c>
      <c r="BN36" s="3">
        <f t="shared" si="29"/>
        <v>26.078631045698252</v>
      </c>
      <c r="BO36" s="3">
        <f t="shared" si="30"/>
        <v>33.198427307552151</v>
      </c>
      <c r="BP36" s="3">
        <f t="shared" si="31"/>
        <v>34.209441523434293</v>
      </c>
      <c r="BQ36" s="3" t="e">
        <f t="shared" si="32"/>
        <v>#N/A</v>
      </c>
      <c r="BR36" s="3" t="e">
        <f t="shared" si="33"/>
        <v>#N/A</v>
      </c>
      <c r="BS36" s="3">
        <f t="shared" si="34"/>
        <v>49.496708616050725</v>
      </c>
      <c r="BT36" s="7">
        <f t="shared" si="35"/>
        <v>52.777405752017778</v>
      </c>
    </row>
    <row r="37" spans="2:72" ht="17" thickBot="1" x14ac:dyDescent="0.25">
      <c r="AN37" s="1"/>
      <c r="AO37" s="196"/>
      <c r="AP37" s="196"/>
      <c r="AY37" s="30">
        <f t="shared" si="37"/>
        <v>15</v>
      </c>
      <c r="AZ37" s="10">
        <f t="shared" si="15"/>
        <v>16.118498732643513</v>
      </c>
      <c r="BA37" s="10">
        <f t="shared" si="16"/>
        <v>27.307028889633706</v>
      </c>
      <c r="BB37" s="10">
        <f t="shared" si="17"/>
        <v>23.426338680280615</v>
      </c>
      <c r="BC37" s="10">
        <f t="shared" si="18"/>
        <v>47.252467022043625</v>
      </c>
      <c r="BD37" s="10" t="e">
        <f t="shared" si="19"/>
        <v>#N/A</v>
      </c>
      <c r="BE37" s="10">
        <f t="shared" si="20"/>
        <v>35.997022241438245</v>
      </c>
      <c r="BF37" s="10">
        <f t="shared" si="21"/>
        <v>21.437795950853697</v>
      </c>
      <c r="BG37" s="10">
        <f t="shared" si="22"/>
        <v>-55.079713352717356</v>
      </c>
      <c r="BH37" s="10">
        <f t="shared" si="23"/>
        <v>-6.6998163169914742</v>
      </c>
      <c r="BI37" s="10">
        <f t="shared" si="24"/>
        <v>-3.3599230537943785</v>
      </c>
      <c r="BJ37" s="10">
        <f t="shared" si="25"/>
        <v>-35.959721978806179</v>
      </c>
      <c r="BK37" s="10" t="e">
        <f t="shared" si="26"/>
        <v>#N/A</v>
      </c>
      <c r="BL37" s="10">
        <f t="shared" si="27"/>
        <v>-9.6705572893456893</v>
      </c>
      <c r="BM37" s="10" t="e">
        <f t="shared" si="28"/>
        <v>#N/A</v>
      </c>
      <c r="BN37" s="10">
        <f t="shared" si="29"/>
        <v>21.984721721086686</v>
      </c>
      <c r="BO37" s="10">
        <f t="shared" si="30"/>
        <v>30.621835464333198</v>
      </c>
      <c r="BP37" s="10">
        <f t="shared" si="31"/>
        <v>28.697651780192547</v>
      </c>
      <c r="BQ37" s="10" t="e">
        <f t="shared" si="32"/>
        <v>#N/A</v>
      </c>
      <c r="BR37" s="10" t="e">
        <f t="shared" si="33"/>
        <v>#N/A</v>
      </c>
      <c r="BS37" s="10">
        <f t="shared" si="34"/>
        <v>45.432652071157193</v>
      </c>
      <c r="BT37" s="11">
        <f t="shared" si="35"/>
        <v>52.470042734908297</v>
      </c>
    </row>
    <row r="38" spans="2:72" x14ac:dyDescent="0.2">
      <c r="B38" s="1"/>
      <c r="AN38" s="1"/>
      <c r="AO38" s="1"/>
      <c r="AP38" s="1"/>
    </row>
    <row r="39" spans="2:72" ht="17" thickBot="1" x14ac:dyDescent="0.25">
      <c r="AN39" s="1"/>
      <c r="AO39" s="1"/>
      <c r="AP39" s="1"/>
      <c r="AR39" s="1"/>
      <c r="AS39" s="1"/>
      <c r="AT39" s="1"/>
      <c r="AU39" s="1"/>
      <c r="AV39" s="1"/>
      <c r="AW39" s="1"/>
      <c r="AX39" s="1"/>
    </row>
    <row r="40" spans="2:72" ht="17" thickBot="1" x14ac:dyDescent="0.25">
      <c r="AN40" s="1"/>
      <c r="AO40" s="1"/>
      <c r="AP40" s="1"/>
      <c r="AR40" s="1"/>
      <c r="AS40" s="1"/>
      <c r="BH40" s="307" t="s">
        <v>99</v>
      </c>
      <c r="BI40" s="308"/>
      <c r="BJ40" s="308"/>
      <c r="BK40" s="309"/>
      <c r="BO40" s="301" t="s">
        <v>11</v>
      </c>
      <c r="BP40" s="302"/>
      <c r="BQ40" s="302"/>
      <c r="BR40" s="303"/>
    </row>
    <row r="41" spans="2:72" x14ac:dyDescent="0.2">
      <c r="AN41" s="1"/>
      <c r="AO41" s="1"/>
      <c r="AP41" s="1"/>
      <c r="AR41" s="1"/>
      <c r="AS41" s="1"/>
      <c r="BC41" s="1"/>
      <c r="BG41" s="69" t="s">
        <v>38</v>
      </c>
      <c r="BH41" s="70" t="s">
        <v>0</v>
      </c>
      <c r="BI41" s="70" t="s">
        <v>5</v>
      </c>
      <c r="BJ41" s="70" t="s">
        <v>6</v>
      </c>
      <c r="BK41" s="70" t="s">
        <v>28</v>
      </c>
      <c r="BL41" s="71" t="s">
        <v>29</v>
      </c>
      <c r="BO41" s="40" t="s">
        <v>28</v>
      </c>
      <c r="BP41" s="2" t="s">
        <v>29</v>
      </c>
      <c r="BQ41" s="297" t="s">
        <v>30</v>
      </c>
      <c r="BR41" s="298"/>
    </row>
    <row r="42" spans="2:72" x14ac:dyDescent="0.2">
      <c r="AN42" s="1"/>
      <c r="AO42" s="1"/>
      <c r="AP42" s="1"/>
      <c r="AR42" s="1"/>
      <c r="AS42" s="1"/>
      <c r="BC42" s="1"/>
      <c r="BG42" s="72">
        <v>0</v>
      </c>
      <c r="BH42" s="65">
        <f>$B$6 - Calcs!AG57/15</f>
        <v>3.8561620542470036</v>
      </c>
      <c r="BI42" s="64">
        <f>MOD(-180/PI()*ATAN2(-SIN(RADIANS($B$3))*COS(RADIANS(Calcs!AH57))*COS(RADIANS(15*BH42))+COS(RADIANS($B$3))*SIN(RADIANS(Calcs!AH57)),COS(RADIANS(Calcs!AH57))*SIN(RADIANS(15*BH42))),360)</f>
        <v>327.99941601367067</v>
      </c>
      <c r="BJ42" s="64">
        <f>180/PI()*ASIN(SIN(RADIANS($B$3))*SIN(RADIANS(Calcs!AH57))+COS(RADIANS($B$3))*COS(RADIANS(Calcs!AH57))*COS(RADIANS(15*BH42)))</f>
        <v>43.239094996986019</v>
      </c>
      <c r="BK42" s="35">
        <f>IF(BJ42&lt;0,NA(),(90-BJ42)/90*SIN(RADIANS(-BI42)))</f>
        <v>0.27533231734234764</v>
      </c>
      <c r="BL42" s="47">
        <f>IF(BJ42&lt;0,NA(),(90-BJ42)/90*COS(RADIANS(-BI42)))</f>
        <v>0.44061382106211128</v>
      </c>
      <c r="BO42" s="24">
        <v>310</v>
      </c>
      <c r="BP42" s="1">
        <v>90</v>
      </c>
      <c r="BQ42" s="299" t="s">
        <v>32</v>
      </c>
      <c r="BR42" s="300"/>
    </row>
    <row r="43" spans="2:72" x14ac:dyDescent="0.2">
      <c r="AN43" s="1"/>
      <c r="AO43" s="1"/>
      <c r="AP43" s="1"/>
      <c r="AR43" s="1"/>
      <c r="AS43" s="1"/>
      <c r="BG43" s="73">
        <v>30</v>
      </c>
      <c r="BH43" s="65">
        <f>$B$6 - Calcs!AG58/15</f>
        <v>-16.697363556320525</v>
      </c>
      <c r="BI43" s="64">
        <f>MOD(-180/PI()*ATAN2(-SIN(RADIANS($B$3))*COS(RADIANS(Calcs!AH58))*COS(RADIANS(15*BH43))+COS(RADIANS($B$3))*SIN(RADIANS(Calcs!AH58)),COS(RADIANS(Calcs!AH58))*SIN(RADIANS(15*BH43))),360)</f>
        <v>321.82432057874655</v>
      </c>
      <c r="BJ43" s="64">
        <f>180/PI()*ASIN(SIN(RADIANS($B$3))*SIN(RADIANS(Calcs!AH58))+COS(RADIANS($B$3))*COS(RADIANS(Calcs!AH58))*COS(RADIANS(15*BH43)))</f>
        <v>13.713056107149844</v>
      </c>
      <c r="BK43" s="35">
        <f t="shared" ref="BK43:BK54" si="38">IF(BJ43&lt;0,NA(),(90-BJ43)/90*SIN(RADIANS(-BI43)))</f>
        <v>0.52390038688784935</v>
      </c>
      <c r="BL43" s="47">
        <f t="shared" ref="BL43:BL54" si="39">IF(BJ43&lt;0,NA(),(90-BJ43)/90*COS(RADIANS(-BI43)))</f>
        <v>0.66634045017995835</v>
      </c>
      <c r="BO43" s="24">
        <v>350</v>
      </c>
      <c r="BP43" s="1">
        <v>90</v>
      </c>
      <c r="BQ43" s="35">
        <f>B8</f>
        <v>1.34</v>
      </c>
      <c r="BR43" s="14"/>
    </row>
    <row r="44" spans="2:72" x14ac:dyDescent="0.2">
      <c r="AN44" s="1"/>
      <c r="AO44" s="1"/>
      <c r="AP44" s="1"/>
      <c r="AR44" s="1"/>
      <c r="AS44" s="1"/>
      <c r="BC44" s="1"/>
      <c r="BG44" s="73">
        <v>60</v>
      </c>
      <c r="BH44" s="65">
        <f>$B$6 - Calcs!AG59/15</f>
        <v>-15.12717135607785</v>
      </c>
      <c r="BI44" s="64">
        <f>MOD(-180/PI()*ATAN2(-SIN(RADIANS($B$3))*COS(RADIANS(Calcs!AH59))*COS(RADIANS(15*BH44))+COS(RADIANS($B$3))*SIN(RADIANS(Calcs!AH59)),COS(RADIANS(Calcs!AH59))*SIN(RADIANS(15*BH44))),360)</f>
        <v>317.14999324650483</v>
      </c>
      <c r="BJ44" s="64">
        <f>180/PI()*ASIN(SIN(RADIANS($B$3))*SIN(RADIANS(Calcs!AH59))+COS(RADIANS($B$3))*COS(RADIANS(Calcs!AH59))*COS(RADIANS(15*BH44)))</f>
        <v>-15.928954445723914</v>
      </c>
      <c r="BK44" s="35" t="e">
        <f t="shared" si="38"/>
        <v>#N/A</v>
      </c>
      <c r="BL44" s="47" t="e">
        <f t="shared" si="39"/>
        <v>#N/A</v>
      </c>
      <c r="BO44" s="24">
        <v>12</v>
      </c>
      <c r="BP44" s="1">
        <v>90</v>
      </c>
      <c r="BQ44" s="299" t="s">
        <v>31</v>
      </c>
      <c r="BR44" s="300"/>
    </row>
    <row r="45" spans="2:72" x14ac:dyDescent="0.2">
      <c r="AN45" s="1"/>
      <c r="AO45" s="1"/>
      <c r="AP45" s="1"/>
      <c r="AR45" s="1"/>
      <c r="AS45" s="1"/>
      <c r="BC45" s="1"/>
      <c r="BG45" s="73">
        <v>90</v>
      </c>
      <c r="BH45" s="65">
        <f>$B$6 - Calcs!AG60/15</f>
        <v>-14.143837945752997</v>
      </c>
      <c r="BI45" s="64">
        <f>MOD(-180/PI()*ATAN2(-SIN(RADIANS($B$3))*COS(RADIANS(Calcs!AH60))*COS(RADIANS(15*BH45))+COS(RADIANS($B$3))*SIN(RADIANS(Calcs!AH60)),COS(RADIANS(Calcs!AH60))*SIN(RADIANS(15*BH45))),360)</f>
        <v>310.67239096390301</v>
      </c>
      <c r="BJ45" s="64">
        <f>180/PI()*ASIN(SIN(RADIANS($B$3))*SIN(RADIANS(Calcs!AH60))+COS(RADIANS($B$3))*COS(RADIANS(Calcs!AH60))*COS(RADIANS(15*BH45)))</f>
        <v>-45.431548337098768</v>
      </c>
      <c r="BK45" s="35" t="e">
        <f t="shared" si="38"/>
        <v>#N/A</v>
      </c>
      <c r="BL45" s="47" t="e">
        <f t="shared" si="39"/>
        <v>#N/A</v>
      </c>
      <c r="BO45" s="68">
        <f>B7</f>
        <v>1.5666666666666669</v>
      </c>
      <c r="BP45" s="1">
        <v>4</v>
      </c>
      <c r="BQ45" s="1" t="s">
        <v>34</v>
      </c>
      <c r="BR45" s="14"/>
    </row>
    <row r="46" spans="2:72" x14ac:dyDescent="0.2">
      <c r="AN46" s="1"/>
      <c r="AO46" s="1"/>
      <c r="AP46" s="1"/>
      <c r="BC46" s="1"/>
      <c r="BG46" s="73">
        <v>120</v>
      </c>
      <c r="BH46" s="65">
        <f>$B$6 - Calcs!AG61/15</f>
        <v>-13.16050453542814</v>
      </c>
      <c r="BI46" s="64">
        <f>MOD(-180/PI()*ATAN2(-SIN(RADIANS($B$3))*COS(RADIANS(Calcs!AH61))*COS(RADIANS(15*BH46))+COS(RADIANS($B$3))*SIN(RADIANS(Calcs!AH61)),COS(RADIANS(Calcs!AH61))*SIN(RADIANS(15*BH46))),360)</f>
        <v>288.02611680719207</v>
      </c>
      <c r="BJ46" s="64">
        <f>180/PI()*ASIN(SIN(RADIANS($B$3))*SIN(RADIANS(Calcs!AH61))+COS(RADIANS($B$3))*COS(RADIANS(Calcs!AH61))*COS(RADIANS(15*BH46)))</f>
        <v>-73.635667073455878</v>
      </c>
      <c r="BK46" s="35" t="e">
        <f t="shared" si="38"/>
        <v>#N/A</v>
      </c>
      <c r="BL46" s="47" t="e">
        <f t="shared" si="39"/>
        <v>#N/A</v>
      </c>
      <c r="BO46" s="24">
        <v>0.7</v>
      </c>
      <c r="BP46" s="1">
        <v>1.08</v>
      </c>
      <c r="BR46" s="14"/>
    </row>
    <row r="47" spans="2:72" ht="17" thickBot="1" x14ac:dyDescent="0.25">
      <c r="AR47" s="54"/>
      <c r="AS47" s="55"/>
      <c r="BC47" s="1"/>
      <c r="BG47" s="73">
        <v>150</v>
      </c>
      <c r="BH47" s="65">
        <f>$B$6 - Calcs!AG62/15</f>
        <v>-11.590312335185468</v>
      </c>
      <c r="BI47" s="64">
        <f>MOD(-180/PI()*ATAN2(-SIN(RADIANS($B$3))*COS(RADIANS(Calcs!AH62))*COS(RADIANS(15*BH47))+COS(RADIANS($B$3))*SIN(RADIANS(Calcs!AH62)),COS(RADIANS(Calcs!AH62))*SIN(RADIANS(15*BH47))),360)</f>
        <v>167.44815180533493</v>
      </c>
      <c r="BJ47" s="64">
        <f>180/PI()*ASIN(SIN(RADIANS($B$3))*SIN(RADIANS(Calcs!AH62))+COS(RADIANS($B$3))*COS(RADIANS(Calcs!AH62))*COS(RADIANS(15*BH47)))</f>
        <v>-71.708507138122187</v>
      </c>
      <c r="BK47" s="35" t="e">
        <f t="shared" si="38"/>
        <v>#N/A</v>
      </c>
      <c r="BL47" s="47" t="e">
        <f t="shared" si="39"/>
        <v>#N/A</v>
      </c>
      <c r="BO47" s="26">
        <v>0.98</v>
      </c>
      <c r="BP47" s="27">
        <v>1.08</v>
      </c>
      <c r="BQ47" s="9"/>
      <c r="BR47" s="15"/>
    </row>
    <row r="48" spans="2:72" x14ac:dyDescent="0.2">
      <c r="AN48" s="1"/>
      <c r="AO48" s="1"/>
      <c r="AP48" s="1"/>
      <c r="BC48" s="1"/>
      <c r="BD48" s="1"/>
      <c r="BE48" s="1"/>
      <c r="BF48" s="1"/>
      <c r="BG48" s="73">
        <v>180</v>
      </c>
      <c r="BH48" s="65">
        <f>$B$6 - Calcs!AG63/15</f>
        <v>-8.1438379457529955</v>
      </c>
      <c r="BI48" s="64">
        <f>MOD(-180/PI()*ATAN2(-SIN(RADIANS($B$3))*COS(RADIANS(Calcs!AH63))*COS(RADIANS(15*BH48))+COS(RADIANS($B$3))*SIN(RADIANS(Calcs!AH63)),COS(RADIANS(Calcs!AH63))*SIN(RADIANS(15*BH48))),360)</f>
        <v>147.9994160136707</v>
      </c>
      <c r="BJ48" s="64">
        <f>180/PI()*ASIN(SIN(RADIANS($B$3))*SIN(RADIANS(Calcs!AH63))+COS(RADIANS($B$3))*COS(RADIANS(Calcs!AH63))*COS(RADIANS(15*BH48)))</f>
        <v>-43.239094996986012</v>
      </c>
      <c r="BK48" s="35" t="e">
        <f t="shared" si="38"/>
        <v>#N/A</v>
      </c>
      <c r="BL48" s="47" t="e">
        <f t="shared" si="39"/>
        <v>#N/A</v>
      </c>
    </row>
    <row r="49" spans="40:64" x14ac:dyDescent="0.2">
      <c r="BD49" s="3"/>
      <c r="BE49" s="3"/>
      <c r="BF49" s="3"/>
      <c r="BG49" s="73">
        <v>210</v>
      </c>
      <c r="BH49" s="65">
        <f>$B$6 - Calcs!AG64/15</f>
        <v>-4.6973635563205196</v>
      </c>
      <c r="BI49" s="64">
        <f>MOD(-180/PI()*ATAN2(-SIN(RADIANS($B$3))*COS(RADIANS(Calcs!AH64))*COS(RADIANS(15*BH49))+COS(RADIANS($B$3))*SIN(RADIANS(Calcs!AH64)),COS(RADIANS(Calcs!AH64))*SIN(RADIANS(15*BH49))),360)</f>
        <v>141.82432057874658</v>
      </c>
      <c r="BJ49" s="64">
        <f>180/PI()*ASIN(SIN(RADIANS($B$3))*SIN(RADIANS(Calcs!AH64))+COS(RADIANS($B$3))*COS(RADIANS(Calcs!AH64))*COS(RADIANS(15*BH49)))</f>
        <v>-13.713056107149797</v>
      </c>
      <c r="BK49" s="35" t="e">
        <f t="shared" si="38"/>
        <v>#N/A</v>
      </c>
      <c r="BL49" s="47" t="e">
        <f t="shared" si="39"/>
        <v>#N/A</v>
      </c>
    </row>
    <row r="50" spans="40:64" x14ac:dyDescent="0.2">
      <c r="BD50" s="3"/>
      <c r="BE50" s="3"/>
      <c r="BF50" s="3"/>
      <c r="BG50" s="73">
        <v>240</v>
      </c>
      <c r="BH50" s="65">
        <f>$B$6 - Calcs!AG65/15</f>
        <v>-3.1271713560778496</v>
      </c>
      <c r="BI50" s="64">
        <f>MOD(-180/PI()*ATAN2(-SIN(RADIANS($B$3))*COS(RADIANS(Calcs!AH65))*COS(RADIANS(15*BH50))+COS(RADIANS($B$3))*SIN(RADIANS(Calcs!AH65)),COS(RADIANS(Calcs!AH65))*SIN(RADIANS(15*BH50))),360)</f>
        <v>137.14999324650486</v>
      </c>
      <c r="BJ50" s="64">
        <f>180/PI()*ASIN(SIN(RADIANS($B$3))*SIN(RADIANS(Calcs!AH65))+COS(RADIANS($B$3))*COS(RADIANS(Calcs!AH65))*COS(RADIANS(15*BH50)))</f>
        <v>15.92895444572391</v>
      </c>
      <c r="BK50" s="35">
        <f t="shared" si="38"/>
        <v>-0.55971491921006922</v>
      </c>
      <c r="BL50" s="47">
        <f t="shared" si="39"/>
        <v>-0.60337992291309228</v>
      </c>
    </row>
    <row r="51" spans="40:64" x14ac:dyDescent="0.2">
      <c r="BC51" s="1"/>
      <c r="BD51" s="1"/>
      <c r="BE51" s="1"/>
      <c r="BF51" s="1"/>
      <c r="BG51" s="73">
        <v>270</v>
      </c>
      <c r="BH51" s="65">
        <f>$B$6 - Calcs!AG66/15</f>
        <v>-2.1438379457529946</v>
      </c>
      <c r="BI51" s="64">
        <f>MOD(-180/PI()*ATAN2(-SIN(RADIANS($B$3))*COS(RADIANS(Calcs!AH66))*COS(RADIANS(15*BH51))+COS(RADIANS($B$3))*SIN(RADIANS(Calcs!AH66)),COS(RADIANS(Calcs!AH66))*SIN(RADIANS(15*BH51))),360)</f>
        <v>130.67239096390304</v>
      </c>
      <c r="BJ51" s="64">
        <f>180/PI()*ASIN(SIN(RADIANS($B$3))*SIN(RADIANS(Calcs!AH66))+COS(RADIANS($B$3))*COS(RADIANS(Calcs!AH66))*COS(RADIANS(15*BH51)))</f>
        <v>45.431548337098775</v>
      </c>
      <c r="BK51" s="35">
        <f t="shared" si="38"/>
        <v>-0.37558749053178708</v>
      </c>
      <c r="BL51" s="47">
        <f t="shared" si="39"/>
        <v>-0.32274145578237085</v>
      </c>
    </row>
    <row r="52" spans="40:64" x14ac:dyDescent="0.2">
      <c r="BC52" s="1"/>
      <c r="BD52" s="1"/>
      <c r="BE52" s="1"/>
      <c r="BF52" s="1"/>
      <c r="BG52" s="73">
        <v>300</v>
      </c>
      <c r="BH52" s="65">
        <f>$B$6 - Calcs!AG67/15</f>
        <v>-1.1605045354281396</v>
      </c>
      <c r="BI52" s="64">
        <f>MOD(-180/PI()*ATAN2(-SIN(RADIANS($B$3))*COS(RADIANS(Calcs!AH67))*COS(RADIANS(15*BH52))+COS(RADIANS($B$3))*SIN(RADIANS(Calcs!AH67)),COS(RADIANS(Calcs!AH67))*SIN(RADIANS(15*BH52))),360)</f>
        <v>108.026116807192</v>
      </c>
      <c r="BJ52" s="64">
        <f>180/PI()*ASIN(SIN(RADIANS($B$3))*SIN(RADIANS(Calcs!AH67))+COS(RADIANS($B$3))*COS(RADIANS(Calcs!AH67))*COS(RADIANS(15*BH52)))</f>
        <v>73.635667073455892</v>
      </c>
      <c r="BK52" s="35">
        <f t="shared" si="38"/>
        <v>-0.17290109788528649</v>
      </c>
      <c r="BL52" s="47">
        <f t="shared" si="39"/>
        <v>-5.626611809268587E-2</v>
      </c>
    </row>
    <row r="53" spans="40:64" x14ac:dyDescent="0.2">
      <c r="BC53" s="1"/>
      <c r="BD53" s="1"/>
      <c r="BE53" s="1"/>
      <c r="BF53" s="1"/>
      <c r="BG53" s="73">
        <v>330</v>
      </c>
      <c r="BH53" s="65">
        <f>$B$6 - Calcs!AG68/15</f>
        <v>0.40968766481452956</v>
      </c>
      <c r="BI53" s="64">
        <f>MOD(-180/PI()*ATAN2(-SIN(RADIANS($B$3))*COS(RADIANS(Calcs!AH68))*COS(RADIANS(15*BH53))+COS(RADIANS($B$3))*SIN(RADIANS(Calcs!AH68)),COS(RADIANS(Calcs!AH68))*SIN(RADIANS(15*BH53))),360)</f>
        <v>347.44815180533499</v>
      </c>
      <c r="BJ53" s="64">
        <f>180/PI()*ASIN(SIN(RADIANS($B$3))*SIN(RADIANS(Calcs!AH68))+COS(RADIANS($B$3))*COS(RADIANS(Calcs!AH68))*COS(RADIANS(15*BH53)))</f>
        <v>71.708507138122215</v>
      </c>
      <c r="BK53" s="35">
        <f t="shared" si="38"/>
        <v>4.4168467132428196E-2</v>
      </c>
      <c r="BL53" s="47">
        <f t="shared" si="39"/>
        <v>0.19838135050758135</v>
      </c>
    </row>
    <row r="54" spans="40:64" x14ac:dyDescent="0.2">
      <c r="BC54" s="1"/>
      <c r="BD54" s="1"/>
      <c r="BE54" s="1"/>
      <c r="BF54" s="1"/>
      <c r="BG54" s="73">
        <v>360</v>
      </c>
      <c r="BH54" s="65">
        <f>$B$6 - Calcs!AG69/15</f>
        <v>3.8561620542470036</v>
      </c>
      <c r="BI54" s="64">
        <f>MOD(-180/PI()*ATAN2(-SIN(RADIANS($B$3))*COS(RADIANS(Calcs!AH69))*COS(RADIANS(15*BH54))+COS(RADIANS($B$3))*SIN(RADIANS(Calcs!AH69)),COS(RADIANS(Calcs!AH69))*SIN(RADIANS(15*BH54))),360)</f>
        <v>327.99941601367067</v>
      </c>
      <c r="BJ54" s="64">
        <f>180/PI()*ASIN(SIN(RADIANS($B$3))*SIN(RADIANS(Calcs!AH69))+COS(RADIANS($B$3))*COS(RADIANS(Calcs!AH69))*COS(RADIANS(15*BH54)))</f>
        <v>43.239094996986019</v>
      </c>
      <c r="BK54" s="35">
        <f t="shared" si="38"/>
        <v>0.27533231734234764</v>
      </c>
      <c r="BL54" s="47">
        <f t="shared" si="39"/>
        <v>0.44061382106211128</v>
      </c>
    </row>
    <row r="55" spans="40:64" x14ac:dyDescent="0.2">
      <c r="BC55" s="1"/>
      <c r="BD55" s="1"/>
      <c r="BE55" s="1"/>
      <c r="BF55" s="1"/>
      <c r="BG55" s="6"/>
      <c r="BL55" s="14"/>
    </row>
    <row r="56" spans="40:64" ht="17" thickBot="1" x14ac:dyDescent="0.25">
      <c r="AN56" s="1"/>
      <c r="AO56" s="1"/>
      <c r="AP56" s="1"/>
      <c r="BG56" s="74" t="s">
        <v>98</v>
      </c>
      <c r="BH56" s="32">
        <f>$B$6 - Calcs!AG70/15</f>
        <v>-13.047171279086326</v>
      </c>
      <c r="BI56" s="33">
        <f>MOD(-180/PI()*ATAN2(-SIN(RADIANS($B$3))*COS(RADIANS(Calcs!AH70))*COS(RADIANS(15*BH56))+COS(RADIANS($B$3))*SIN(RADIANS(Calcs!AH70)),COS(RADIANS(Calcs!AH70))*SIN(RADIANS(15*BH56))),360)</f>
        <v>281.59071319286176</v>
      </c>
      <c r="BJ56" s="33">
        <f>180/PI()*ASIN(SIN(RADIANS($B$3))*SIN(RADIANS(Calcs!AH70))+COS(RADIANS($B$3))*COS(RADIANS(Calcs!AH70))*COS(RADIANS(15*BH56)))</f>
        <v>-75.998562530533036</v>
      </c>
      <c r="BK56" s="48" t="e">
        <f>IF(BJ56&lt;0,NA(),(90-BJ56)/90*SIN(RADIANS(-BI56)))</f>
        <v>#N/A</v>
      </c>
      <c r="BL56" s="49" t="e">
        <f>IF(BJ56&lt;0,NA(),(90-BJ56)/90*COS(RADIANS(-BI56)))</f>
        <v>#N/A</v>
      </c>
    </row>
    <row r="57" spans="40:64" x14ac:dyDescent="0.2">
      <c r="AN57" s="1"/>
      <c r="AO57" s="1"/>
      <c r="AP57" s="1"/>
    </row>
    <row r="58" spans="40:64" x14ac:dyDescent="0.2">
      <c r="AN58" s="1"/>
      <c r="AO58" s="1"/>
      <c r="AP58" s="1"/>
    </row>
    <row r="59" spans="40:64" x14ac:dyDescent="0.2">
      <c r="AN59" s="1"/>
      <c r="AO59" s="1"/>
      <c r="AP59" s="1"/>
    </row>
    <row r="60" spans="40:64" x14ac:dyDescent="0.2">
      <c r="AN60" s="1"/>
      <c r="AO60" s="1"/>
      <c r="AP60" s="1"/>
    </row>
    <row r="61" spans="40:64" x14ac:dyDescent="0.2">
      <c r="AN61" s="1"/>
      <c r="AO61" s="1"/>
      <c r="AP61" s="1"/>
    </row>
    <row r="62" spans="40:64" x14ac:dyDescent="0.2">
      <c r="AN62" s="1"/>
      <c r="AO62" s="1"/>
      <c r="AP62" s="1"/>
    </row>
    <row r="64" spans="40:64" x14ac:dyDescent="0.2">
      <c r="AN64" s="1"/>
      <c r="AO64" s="1"/>
      <c r="AP64" s="1"/>
      <c r="AQ64" s="1"/>
    </row>
  </sheetData>
  <mergeCells count="13">
    <mergeCell ref="BQ41:BR41"/>
    <mergeCell ref="BQ42:BR42"/>
    <mergeCell ref="BQ44:BR44"/>
    <mergeCell ref="BO40:BR40"/>
    <mergeCell ref="A11:C11"/>
    <mergeCell ref="BH40:BK40"/>
    <mergeCell ref="A2:C2"/>
    <mergeCell ref="AH2:AI2"/>
    <mergeCell ref="X1:AA1"/>
    <mergeCell ref="AF1:AH1"/>
    <mergeCell ref="BE1:BI1"/>
    <mergeCell ref="AK1:AM1"/>
    <mergeCell ref="AQ1:AT1"/>
  </mergeCells>
  <phoneticPr fontId="1" type="noConversion"/>
  <conditionalFormatting sqref="Y5:Y8 Y10 Y13:Y24">
    <cfRule type="colorScale" priority="17">
      <colorScale>
        <cfvo type="num" val="1"/>
        <cfvo type="num" val="2"/>
        <cfvo type="num" val="3"/>
        <color theme="5" tint="0.59999389629810485"/>
        <color theme="7" tint="0.79998168889431442"/>
        <color theme="9" tint="0.39997558519241921"/>
      </colorScale>
    </cfRule>
  </conditionalFormatting>
  <conditionalFormatting sqref="Z5:Z8 Z10 Z13:Z24">
    <cfRule type="containsText" dxfId="7" priority="8" operator="containsText" text="Done">
      <formula>NOT(ISERROR(SEARCH("Done",Z5)))</formula>
    </cfRule>
  </conditionalFormatting>
  <conditionalFormatting sqref="AE4">
    <cfRule type="colorScale" priority="20">
      <colorScale>
        <cfvo type="num" val="0"/>
        <cfvo type="num" val="5"/>
        <color rgb="FFFCFCFF"/>
        <color rgb="FFFFC000"/>
      </colorScale>
    </cfRule>
  </conditionalFormatting>
  <conditionalFormatting sqref="AE5:AE24">
    <cfRule type="colorScale" priority="19">
      <colorScale>
        <cfvo type="num" val="-90"/>
        <cfvo type="num" val="30"/>
        <cfvo type="num" val="45"/>
        <color rgb="FFF8696B"/>
        <color rgb="FFFF8497"/>
        <color rgb="FFFCFCFF"/>
      </colorScale>
    </cfRule>
  </conditionalFormatting>
  <conditionalFormatting sqref="AF5:AF24">
    <cfRule type="expression" dxfId="6" priority="63">
      <formula>AN5&lt;-1*AD5</formula>
    </cfRule>
    <cfRule type="colorScale" priority="64">
      <colorScale>
        <cfvo type="num" val="0"/>
        <cfvo type="num" val="0"/>
        <cfvo type="num" val="1"/>
        <color rgb="FFF8696B"/>
        <color rgb="FFFFFF00"/>
        <color theme="0"/>
      </colorScale>
    </cfRule>
  </conditionalFormatting>
  <conditionalFormatting sqref="AG5:AG24">
    <cfRule type="colorScale" priority="5">
      <colorScale>
        <cfvo type="num" val="0"/>
        <cfvo type="num" val="45"/>
        <cfvo type="num" val="120"/>
        <color rgb="FFF8696B"/>
        <color rgb="FFFFA5AC"/>
        <color rgb="FFFCFCFF"/>
      </colorScale>
    </cfRule>
  </conditionalFormatting>
  <conditionalFormatting sqref="AH5:AH24">
    <cfRule type="colorScale" priority="2">
      <colorScale>
        <cfvo type="num" val="85"/>
        <cfvo type="num" val="350"/>
        <cfvo type="num" val="850"/>
        <color theme="0"/>
        <color rgb="FFFFD3C6"/>
        <color rgb="FFFF6B63"/>
      </colorScale>
    </cfRule>
  </conditionalFormatting>
  <conditionalFormatting sqref="AI5:AI24">
    <cfRule type="colorScale" priority="3">
      <colorScale>
        <cfvo type="num" val="19"/>
        <cfvo type="num" val="20"/>
        <cfvo type="num" val="21.5"/>
        <color rgb="FFF8696B"/>
        <color rgb="FFFFAEB4"/>
        <color rgb="FFFCFCFF"/>
      </colorScale>
    </cfRule>
  </conditionalFormatting>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05617-E83F-5541-A22D-77E13348EA07}">
  <dimension ref="A1:BT64"/>
  <sheetViews>
    <sheetView zoomScaleNormal="100" workbookViewId="0">
      <selection activeCell="B29" sqref="B29"/>
    </sheetView>
  </sheetViews>
  <sheetFormatPr baseColWidth="10" defaultRowHeight="16" x14ac:dyDescent="0.2"/>
  <cols>
    <col min="1" max="1" width="11.5" customWidth="1"/>
    <col min="2" max="2" width="7" customWidth="1"/>
    <col min="3" max="3" width="8.5" customWidth="1"/>
    <col min="4" max="4" width="6" customWidth="1"/>
    <col min="5" max="5" width="11.6640625" customWidth="1"/>
    <col min="6" max="6" width="4.33203125" customWidth="1"/>
    <col min="7" max="7" width="5.83203125" customWidth="1"/>
    <col min="8" max="9" width="6.83203125" customWidth="1"/>
    <col min="10" max="10" width="6.5" customWidth="1"/>
    <col min="11" max="11" width="6.6640625" customWidth="1"/>
    <col min="12" max="12" width="5.83203125" customWidth="1"/>
    <col min="13" max="13" width="5.6640625" customWidth="1"/>
    <col min="14" max="14" width="5.1640625" customWidth="1"/>
    <col min="15" max="15" width="5.6640625" customWidth="1"/>
    <col min="16" max="16" width="7.1640625" customWidth="1"/>
    <col min="17" max="17" width="6" customWidth="1"/>
    <col min="18" max="18" width="6.33203125" customWidth="1"/>
    <col min="19" max="19" width="5.83203125" customWidth="1"/>
    <col min="20" max="20" width="6" customWidth="1"/>
    <col min="21" max="22" width="6.33203125" customWidth="1"/>
    <col min="23" max="23" width="20.1640625" customWidth="1"/>
    <col min="24" max="24" width="6.5" customWidth="1"/>
    <col min="25" max="25" width="6" customWidth="1"/>
    <col min="26" max="26" width="6.33203125" customWidth="1"/>
    <col min="27" max="27" width="6.83203125" customWidth="1"/>
    <col min="28" max="28" width="6.33203125" customWidth="1"/>
    <col min="29" max="29" width="6" customWidth="1"/>
    <col min="30" max="30" width="6.6640625" customWidth="1"/>
    <col min="31" max="31" width="6.1640625" customWidth="1"/>
    <col min="32" max="32" width="7.6640625" customWidth="1"/>
    <col min="33" max="33" width="7" customWidth="1"/>
    <col min="34" max="41" width="7.33203125" customWidth="1"/>
    <col min="42" max="42" width="5.83203125" customWidth="1"/>
    <col min="43" max="43" width="5.5" customWidth="1"/>
    <col min="44" max="44" width="6" customWidth="1"/>
    <col min="45" max="45" width="5.5" customWidth="1"/>
    <col min="46" max="46" width="6" customWidth="1"/>
    <col min="47" max="49" width="5.6640625" customWidth="1"/>
    <col min="50" max="50" width="6" customWidth="1"/>
    <col min="51" max="51" width="6.5" customWidth="1"/>
    <col min="52" max="53" width="5.83203125" customWidth="1"/>
    <col min="54" max="54" width="5.1640625" customWidth="1"/>
    <col min="55" max="55" width="5.83203125" customWidth="1"/>
    <col min="56" max="56" width="6.1640625" customWidth="1"/>
    <col min="57" max="57" width="5.6640625" customWidth="1"/>
    <col min="58" max="58" width="5.5" customWidth="1"/>
    <col min="59" max="61" width="5.33203125" customWidth="1"/>
    <col min="62" max="62" width="5.5" customWidth="1"/>
    <col min="63" max="63" width="5.6640625" customWidth="1"/>
    <col min="64" max="65" width="5.5" customWidth="1"/>
    <col min="66" max="66" width="5" customWidth="1"/>
    <col min="67" max="67" width="5.5" customWidth="1"/>
    <col min="68" max="68" width="5.83203125" customWidth="1"/>
    <col min="69" max="69" width="5.6640625" customWidth="1"/>
    <col min="70" max="70" width="5.1640625" customWidth="1"/>
    <col min="71" max="71" width="5.5" customWidth="1"/>
    <col min="72" max="72" width="5.6640625" customWidth="1"/>
  </cols>
  <sheetData>
    <row r="1" spans="1:72" ht="17" thickBot="1" x14ac:dyDescent="0.25">
      <c r="Y1" s="285" t="s">
        <v>36</v>
      </c>
      <c r="Z1" s="286"/>
      <c r="AA1" s="286"/>
      <c r="AB1" s="287"/>
      <c r="AF1" s="313" t="s">
        <v>249</v>
      </c>
      <c r="AG1" s="314"/>
      <c r="AH1" s="315"/>
      <c r="AK1" s="316" t="s">
        <v>255</v>
      </c>
      <c r="AL1" s="317"/>
      <c r="AM1" s="318"/>
      <c r="AQ1" s="319" t="s">
        <v>253</v>
      </c>
      <c r="AR1" s="320"/>
      <c r="AS1" s="320"/>
      <c r="AT1" s="321"/>
      <c r="BG1" s="291" t="s">
        <v>37</v>
      </c>
      <c r="BH1" s="292"/>
      <c r="BI1" s="292"/>
      <c r="BJ1" s="292"/>
      <c r="BK1" s="293"/>
    </row>
    <row r="2" spans="1:72" x14ac:dyDescent="0.2">
      <c r="A2" s="280" t="s">
        <v>148</v>
      </c>
      <c r="B2" s="281"/>
      <c r="C2" s="282"/>
      <c r="V2" s="23" t="s">
        <v>33</v>
      </c>
      <c r="W2" s="140" t="s">
        <v>117</v>
      </c>
      <c r="X2" s="140" t="s">
        <v>111</v>
      </c>
      <c r="Y2" s="140" t="s">
        <v>119</v>
      </c>
      <c r="Z2" s="140" t="s">
        <v>118</v>
      </c>
      <c r="AA2" s="140" t="s">
        <v>2</v>
      </c>
      <c r="AB2" s="140" t="s">
        <v>1</v>
      </c>
      <c r="AC2" s="140" t="s">
        <v>121</v>
      </c>
      <c r="AD2" s="140" t="s">
        <v>126</v>
      </c>
      <c r="AE2" s="141" t="s">
        <v>6</v>
      </c>
      <c r="AF2" s="141" t="s">
        <v>131</v>
      </c>
      <c r="AG2" s="141" t="s">
        <v>9</v>
      </c>
      <c r="AH2" s="283" t="s">
        <v>206</v>
      </c>
      <c r="AI2" s="284"/>
      <c r="AJ2" s="1"/>
      <c r="AK2" s="246" t="s">
        <v>254</v>
      </c>
      <c r="AL2" s="247" t="s">
        <v>251</v>
      </c>
      <c r="AM2" s="248" t="s">
        <v>252</v>
      </c>
      <c r="AN2" s="215" t="s">
        <v>0</v>
      </c>
      <c r="AO2" s="140" t="s">
        <v>5</v>
      </c>
      <c r="AP2" s="140" t="s">
        <v>10</v>
      </c>
      <c r="AQ2" s="142" t="s">
        <v>6</v>
      </c>
      <c r="AR2" s="140" t="s">
        <v>38</v>
      </c>
      <c r="AS2" s="143" t="s">
        <v>28</v>
      </c>
      <c r="AT2" s="142" t="s">
        <v>29</v>
      </c>
      <c r="AU2" s="140" t="s">
        <v>129</v>
      </c>
      <c r="AV2" s="143" t="s">
        <v>2</v>
      </c>
      <c r="AW2" s="210" t="s">
        <v>1</v>
      </c>
      <c r="AY2" s="12" t="s">
        <v>17</v>
      </c>
      <c r="AZ2" s="20">
        <v>0</v>
      </c>
      <c r="BA2" s="20">
        <v>1</v>
      </c>
      <c r="BB2" s="20">
        <v>2</v>
      </c>
      <c r="BC2" s="20">
        <v>3</v>
      </c>
      <c r="BD2" s="20">
        <v>4</v>
      </c>
      <c r="BE2" s="20">
        <v>5</v>
      </c>
      <c r="BF2" s="20">
        <v>6</v>
      </c>
      <c r="BG2" s="20">
        <v>7</v>
      </c>
      <c r="BH2" s="20">
        <v>8</v>
      </c>
      <c r="BI2" s="20">
        <v>9</v>
      </c>
      <c r="BJ2" s="20">
        <v>10</v>
      </c>
      <c r="BK2" s="20">
        <v>11</v>
      </c>
      <c r="BL2" s="20">
        <v>12</v>
      </c>
      <c r="BM2" s="20">
        <v>13</v>
      </c>
      <c r="BN2" s="20">
        <v>14</v>
      </c>
      <c r="BO2" s="20">
        <v>15</v>
      </c>
      <c r="BP2" s="20">
        <v>16</v>
      </c>
      <c r="BQ2" s="20">
        <v>17</v>
      </c>
      <c r="BR2" s="20">
        <v>18</v>
      </c>
      <c r="BS2" s="20">
        <v>19</v>
      </c>
      <c r="BT2" s="21">
        <v>20</v>
      </c>
    </row>
    <row r="3" spans="1:72" x14ac:dyDescent="0.2">
      <c r="A3" s="31" t="s">
        <v>7</v>
      </c>
      <c r="B3">
        <v>32.700000000000003</v>
      </c>
      <c r="C3" s="14" t="s">
        <v>4</v>
      </c>
      <c r="V3" s="24" t="s">
        <v>17</v>
      </c>
      <c r="W3" s="38"/>
      <c r="X3" s="38"/>
      <c r="Y3" s="38" t="s">
        <v>120</v>
      </c>
      <c r="Z3" s="38" t="s">
        <v>127</v>
      </c>
      <c r="AA3" s="38" t="s">
        <v>247</v>
      </c>
      <c r="AB3" s="38" t="s">
        <v>248</v>
      </c>
      <c r="AC3" s="38" t="s">
        <v>122</v>
      </c>
      <c r="AD3" s="38" t="s">
        <v>122</v>
      </c>
      <c r="AE3" s="101" t="s">
        <v>4</v>
      </c>
      <c r="AF3" s="101" t="s">
        <v>122</v>
      </c>
      <c r="AG3" s="101" t="s">
        <v>15</v>
      </c>
      <c r="AH3" s="101" t="s">
        <v>203</v>
      </c>
      <c r="AI3" s="218" t="s">
        <v>207</v>
      </c>
      <c r="AJ3" s="1"/>
      <c r="AK3" s="249" t="s">
        <v>4</v>
      </c>
      <c r="AL3" s="250" t="s">
        <v>17</v>
      </c>
      <c r="AM3" s="251" t="s">
        <v>122</v>
      </c>
      <c r="AN3" s="216" t="s">
        <v>122</v>
      </c>
      <c r="AO3" s="38" t="s">
        <v>123</v>
      </c>
      <c r="AP3" s="38" t="s">
        <v>25</v>
      </c>
      <c r="AQ3" s="39" t="s">
        <v>25</v>
      </c>
      <c r="AR3" s="38" t="s">
        <v>4</v>
      </c>
      <c r="AS3" s="63" t="s">
        <v>17</v>
      </c>
      <c r="AT3" s="39" t="s">
        <v>17</v>
      </c>
      <c r="AU3" s="38" t="s">
        <v>130</v>
      </c>
      <c r="AV3" s="63" t="s">
        <v>122</v>
      </c>
      <c r="AW3" s="211" t="s">
        <v>123</v>
      </c>
      <c r="AY3" s="13" t="s">
        <v>8</v>
      </c>
      <c r="AZ3" s="19" t="str">
        <f>W4</f>
        <v>Moon</v>
      </c>
      <c r="BA3" s="19" t="str">
        <f>W5</f>
        <v>J2229</v>
      </c>
      <c r="BB3" s="19">
        <f>W6</f>
        <v>0</v>
      </c>
      <c r="BC3" s="19" t="str">
        <f>W7</f>
        <v>J0042</v>
      </c>
      <c r="BD3" s="19" t="str">
        <f>W8</f>
        <v>J0158</v>
      </c>
      <c r="BE3" s="19" t="str">
        <f>W9</f>
        <v>J0224</v>
      </c>
      <c r="BF3" s="19" t="str">
        <f>W10</f>
        <v>J2031</v>
      </c>
      <c r="BG3" s="19">
        <f>W11</f>
        <v>0</v>
      </c>
      <c r="BH3" s="19" t="str">
        <f>W12</f>
        <v>Uranus</v>
      </c>
      <c r="BI3" s="19">
        <f>W13</f>
        <v>0</v>
      </c>
      <c r="BJ3" s="19">
        <f>W14</f>
        <v>0</v>
      </c>
      <c r="BK3" s="19">
        <f>W15</f>
        <v>0</v>
      </c>
      <c r="BL3" s="19">
        <f>W16</f>
        <v>0</v>
      </c>
      <c r="BM3" s="19">
        <f>W17</f>
        <v>0</v>
      </c>
      <c r="BN3" s="19">
        <f>W18</f>
        <v>0</v>
      </c>
      <c r="BO3" s="19">
        <f>W19</f>
        <v>0</v>
      </c>
      <c r="BP3" s="19">
        <f>W20</f>
        <v>0</v>
      </c>
      <c r="BQ3" s="19">
        <f>W21</f>
        <v>0</v>
      </c>
      <c r="BR3" s="19">
        <f>W22</f>
        <v>0</v>
      </c>
      <c r="BS3" s="19">
        <f>W23</f>
        <v>0</v>
      </c>
      <c r="BT3" s="22">
        <f>W24</f>
        <v>0</v>
      </c>
    </row>
    <row r="4" spans="1:72" x14ac:dyDescent="0.2">
      <c r="A4" s="6"/>
      <c r="C4" s="14"/>
      <c r="P4" s="3"/>
      <c r="V4" s="24">
        <v>0</v>
      </c>
      <c r="W4" s="17" t="s">
        <v>9</v>
      </c>
      <c r="X4" s="17"/>
      <c r="Y4" s="17"/>
      <c r="Z4" s="17"/>
      <c r="AA4" s="153"/>
      <c r="AB4" s="153"/>
      <c r="AC4" s="17"/>
      <c r="AD4" s="17"/>
      <c r="AE4" s="18">
        <f t="shared" ref="AE4:AE24" si="0">IF(OR(W4="",Z4&lt;&gt;""),NA(),180/PI()*ASIN(SIN(RADIANS($B$3))*SIN(RADIANS(AW4)) + COS(RADIANS($B$3))*COS(RADIANS(AW4))*COS(RADIANS(15*AN4))))</f>
        <v>-19.827303742046936</v>
      </c>
      <c r="AF4" s="18">
        <v>0</v>
      </c>
      <c r="AG4" s="18">
        <f>IF(OR(W4="",Z4&lt;&gt;""),NA(),180/PI()*ACOS(SIN(RADIANS(AW4))*SIN(RADIANS($AW$4))+COS(RADIANS(AW4))*COS(RADIANS($AW$4))*COS(RADIANS(15*(AN4-$AN$4)))))</f>
        <v>0</v>
      </c>
      <c r="AH4" s="18">
        <v>0</v>
      </c>
      <c r="AI4" s="219">
        <v>0</v>
      </c>
      <c r="AJ4" s="64"/>
      <c r="AK4" s="252"/>
      <c r="AL4" s="253"/>
      <c r="AM4" s="254"/>
      <c r="AN4" s="68">
        <f t="shared" ref="AN4:AN24" si="1">IF(OR(W4="",Z4&lt;&gt;""),NA(),IF($B$6-AV4&gt;12,($B$6-AV4)-24,IF($B$6-AV4&lt;-12,$B$6-AV4+24,$B$6-AV4)))</f>
        <v>6.9785105176989859</v>
      </c>
      <c r="AO4" s="64">
        <f t="shared" ref="AO4:AO24" si="2">IF(OR(W4="",Z4&lt;&gt;""),NA(),MOD(-180/PI()*ATAN2(-SIN(RADIANS($B$3))*COS(RADIANS(AW4))*COS(RADIANS(15*AN4)) + COS(RADIANS($B$3))*SIN(RADIANS(AW4)),COS(RADIANS(AW4))*SIN(RADIANS(15*AN4))),360))</f>
        <v>265.5101844214899</v>
      </c>
      <c r="AP4" s="65">
        <f t="shared" ref="AP4:AP24" si="3">IF(OR(W4="",Z4&lt;&gt;""),NA(),MOD(AV4-$B$5,24))</f>
        <v>18.988156148967683</v>
      </c>
      <c r="AQ4" s="64">
        <f t="shared" ref="AQ4:AQ24" si="4">IF(OR(W4="",Z4&lt;&gt;""),NA(),180/PI()*ASIN(SIN(RADIANS($B$3))*SIN(RADIANS(AW4)) + COS(RADIANS($B$3))*COS(RADIANS(AW4))))</f>
        <v>43.105636220368886</v>
      </c>
      <c r="AR4" s="64">
        <f t="shared" ref="AR4:AR24" si="5">IF(OR(W4="",Z4&lt;&gt;""),NA(),180/PI()*ATAN2(TAN(RADIANS($B$3))*COS(RADIANS(AW4)) - SIN(RADIANS(AW4))*COS(RADIANS(15*AN4)),SIN(RADIANS(15*AN4))))</f>
        <v>59.922458463611378</v>
      </c>
      <c r="AS4" s="35" t="e">
        <f t="shared" ref="AS4:AS24" si="6">IF(OR(W4="",Z4&lt;&gt;"",AE4&lt;0),NA(),(90-AE4)/90*SIN(RADIANS(-AO4)))</f>
        <v>#N/A</v>
      </c>
      <c r="AT4" s="35" t="e">
        <f t="shared" ref="AT4:AT24" si="7">IF(OR(W4="",Z4&lt;&gt;"",AE4&lt;0),NA(),(90-AE4)/90*COS(RADIANS(AO4)))</f>
        <v>#N/A</v>
      </c>
      <c r="AU4" t="e">
        <f>NA()</f>
        <v>#N/A</v>
      </c>
      <c r="AV4" s="222">
        <f>Calcs!B55</f>
        <v>22.134318203214686</v>
      </c>
      <c r="AW4" s="226">
        <f>Calcs!B56</f>
        <v>-14.194363779631127</v>
      </c>
      <c r="AY4" s="13" t="s">
        <v>10</v>
      </c>
      <c r="AZ4" s="19">
        <f>Y4</f>
        <v>0</v>
      </c>
      <c r="BA4" s="19">
        <f>Y5</f>
        <v>1</v>
      </c>
      <c r="BB4" s="19">
        <f>Y6</f>
        <v>0</v>
      </c>
      <c r="BC4" s="19">
        <f>Y7</f>
        <v>2</v>
      </c>
      <c r="BD4" s="19">
        <f>Y8</f>
        <v>2</v>
      </c>
      <c r="BE4" s="19">
        <f>Y9</f>
        <v>2</v>
      </c>
      <c r="BF4" s="19">
        <f>Y10</f>
        <v>2</v>
      </c>
      <c r="BG4" s="19">
        <f>Y11</f>
        <v>0</v>
      </c>
      <c r="BH4" s="19">
        <f>Y12</f>
        <v>1</v>
      </c>
      <c r="BI4" s="19">
        <f>Y13</f>
        <v>0</v>
      </c>
      <c r="BJ4" s="19">
        <f>Y14</f>
        <v>0</v>
      </c>
      <c r="BK4" s="19">
        <f>Y15</f>
        <v>0</v>
      </c>
      <c r="BL4" s="19">
        <f>Y16</f>
        <v>0</v>
      </c>
      <c r="BM4" s="19">
        <f>Y17</f>
        <v>0</v>
      </c>
      <c r="BN4" s="19">
        <f>Y18</f>
        <v>0</v>
      </c>
      <c r="BO4" s="19">
        <f>Y19</f>
        <v>0</v>
      </c>
      <c r="BP4" s="19">
        <f>Y20</f>
        <v>0</v>
      </c>
      <c r="BQ4" s="19">
        <f>Y21</f>
        <v>0</v>
      </c>
      <c r="BR4" s="19">
        <f>Y22</f>
        <v>0</v>
      </c>
      <c r="BS4" s="19">
        <f>Y23</f>
        <v>0</v>
      </c>
      <c r="BT4" s="22">
        <f>Y24</f>
        <v>0</v>
      </c>
    </row>
    <row r="5" spans="1:72" x14ac:dyDescent="0.2">
      <c r="A5" s="31" t="s">
        <v>102</v>
      </c>
      <c r="B5" s="16">
        <f>Calcs!B23</f>
        <v>3.1461620542470055</v>
      </c>
      <c r="C5" s="14" t="s">
        <v>3</v>
      </c>
      <c r="P5" s="3"/>
      <c r="V5" s="24">
        <v>1</v>
      </c>
      <c r="W5" s="5" t="s">
        <v>216</v>
      </c>
      <c r="X5" s="5" t="s">
        <v>115</v>
      </c>
      <c r="Y5" s="5">
        <v>1</v>
      </c>
      <c r="Z5" s="5" t="s">
        <v>127</v>
      </c>
      <c r="AA5" s="159">
        <v>22.3</v>
      </c>
      <c r="AB5" s="207">
        <v>27.24</v>
      </c>
      <c r="AC5" s="223">
        <v>1.17</v>
      </c>
      <c r="AD5" s="34">
        <v>3.08</v>
      </c>
      <c r="AE5" s="18" t="e">
        <f t="shared" si="0"/>
        <v>#N/A</v>
      </c>
      <c r="AF5" s="96" t="e">
        <f t="shared" ref="AF5:AF24" si="8">IF(OR(W5="",Z5&lt;&gt;""),NA(),-AN5+AD5-AC5)</f>
        <v>#N/A</v>
      </c>
      <c r="AG5" s="18" t="e">
        <f t="shared" ref="AG5:AG24" si="9">IF(OR(W5="",Z5&lt;&gt;"",$AE$4&lt;0),NA(),180/PI()*ACOS(SIN(RADIANS(AW5))*SIN(RADIANS($AW$4))+COS(RADIANS(AW5))*COS(RADIANS($AW$4))*COS(RADIANS(15*(AN5-$AN$4)))))</f>
        <v>#N/A</v>
      </c>
      <c r="AH5" s="18" t="e">
        <f>IF(OR($AE$4&lt;0,AE5&lt;0),NA(),  Calcs!$B$62*10^(-0.4*Calcs!$B$63*_xlfn.SEC(RADIANS(90-$AE$4)))  *  (1 - 10^(-0.4*Calcs!$B$63*_xlfn.SEC(RADIANS(90-AE5))))  *  (  10^5.36 * (1.06+ (COS(RADIANS(AG5))^2)) + 10^(6.15 - AG5/40) )  )</f>
        <v>#N/A</v>
      </c>
      <c r="AI5" s="220" t="e">
        <f t="shared" ref="AI5:AI24" si="10">IF(OR($AE$4&lt;0,AE5&lt;0),NA(),  22.5 - 1.086* LN(AH5/34.08) )</f>
        <v>#N/A</v>
      </c>
      <c r="AJ5" s="65"/>
      <c r="AK5" s="255">
        <v>45</v>
      </c>
      <c r="AL5" s="253">
        <f>IF(AK5="",NA(),1/SIN(RADIANS(AK5)))</f>
        <v>1.4142135623730951</v>
      </c>
      <c r="AM5" s="254">
        <f>IF(AK5="",NA(),180/PI()/15*ACOS( (SIN(RADIANS(AK5)) - SIN(RADIANS($B$3))*SIN(RADIANS(AW5)))/(COS(RADIANS($B$3))*COS(RADIANS(AW5))) ))</f>
        <v>3.4762351294995577</v>
      </c>
      <c r="AN5" s="68" t="e">
        <f t="shared" si="1"/>
        <v>#N/A</v>
      </c>
      <c r="AO5" s="64" t="e">
        <f t="shared" si="2"/>
        <v>#N/A</v>
      </c>
      <c r="AP5" s="65" t="e">
        <f t="shared" si="3"/>
        <v>#N/A</v>
      </c>
      <c r="AQ5" s="64" t="e">
        <f t="shared" si="4"/>
        <v>#N/A</v>
      </c>
      <c r="AR5" s="64" t="e">
        <f t="shared" si="5"/>
        <v>#N/A</v>
      </c>
      <c r="AS5" s="35" t="e">
        <f t="shared" si="6"/>
        <v>#N/A</v>
      </c>
      <c r="AT5" s="35" t="e">
        <f t="shared" si="7"/>
        <v>#N/A</v>
      </c>
      <c r="AU5" t="e">
        <f t="shared" ref="AU5:AU24" si="11">IF(OR(AN5&lt;-1*AD5,AF5&lt;0,AE5&lt;30),NA(),AF5)</f>
        <v>#N/A</v>
      </c>
      <c r="AV5" s="65">
        <f t="shared" ref="AV5:AV24" si="12">IF(AA5="",NA(),INT(AA5) + 100*MOD(AA5,1)/60)</f>
        <v>22.5</v>
      </c>
      <c r="AW5" s="212">
        <f t="shared" ref="AW5:AW24" si="13">IF(AB5="",NA(),IF(AB5&gt;0,INT(AB5) + 100*MOD(AB5,1)/60,-INT(-AB5) - 100*MOD(-AB5,1)/60))</f>
        <v>27.4</v>
      </c>
      <c r="AY5" s="29">
        <f>INT($B$16)-8</f>
        <v>-1</v>
      </c>
      <c r="AZ5" s="3">
        <f t="shared" ref="AZ5:AZ37" si="14">180/PI()*ASIN(SIN(RADIANS($B$3))*SIN(RADIANS($AW$4)) + COS(RADIANS($B$3))*COS(RADIANS($AW$4))*COS(RADIANS(15*(AY5+$B$5-$AV$4))))</f>
        <v>15.857360496757829</v>
      </c>
      <c r="BA5" s="3" t="e">
        <f t="shared" ref="BA5:BA37" si="15">IF(OR($W$5="",$Z$5&lt;&gt;""),NA(),180/PI()*ASIN(SIN(RADIANS($B$3))*SIN(RADIANS($AW$5)) + COS(RADIANS($B$3))*COS(RADIANS($AW$5))*COS(RADIANS(15*(AY5+$B$5-$AV$5)))))</f>
        <v>#N/A</v>
      </c>
      <c r="BB5" s="3" t="e">
        <f t="shared" ref="BB5:BB37" si="16">IF(OR($W$6="",$Z$6&lt;&gt;""),NA(),180/PI()*ASIN(SIN(RADIANS($B$3))*SIN(RADIANS($AW$6)) + COS(RADIANS($B$3))*COS(RADIANS($AW$6))*COS(RADIANS(15*(AY5+$B$5-$AV$6)))))</f>
        <v>#N/A</v>
      </c>
      <c r="BC5" s="3" t="e">
        <f t="shared" ref="BC5:BC37" si="17">IF(OR($W$7="",$Z$7&lt;&gt;""),NA(),180/PI()*ASIN(SIN(RADIANS($B$3))*SIN(RADIANS($AW$7)) + COS(RADIANS($B$3))*COS(RADIANS($AW$7))*COS(RADIANS(15*(AY5+$B$5-$AV$7)))))</f>
        <v>#N/A</v>
      </c>
      <c r="BD5" s="3" t="e">
        <f t="shared" ref="BD5:BD37" si="18">IF(OR($W$8="",$Z$8&lt;&gt;""),NA(),180/PI()*ASIN(SIN(RADIANS($B$3))*SIN(RADIANS($AW$8)) + COS(RADIANS($B$3))*COS(RADIANS($AW$8))*COS(RADIANS(15*(AY5+$B$5-$AV$8)))))</f>
        <v>#N/A</v>
      </c>
      <c r="BE5" s="3" t="e">
        <f t="shared" ref="BE5:BE37" si="19">IF(OR($W$9="",$Z$9&lt;&gt;""),NA(),180/PI()*ASIN(SIN(RADIANS($B$3))*SIN(RADIANS($AW$9)) + COS(RADIANS($B$3))*COS(RADIANS($AW$9))*COS(RADIANS(15*(AY5+$B$5-$AV$9)))))</f>
        <v>#N/A</v>
      </c>
      <c r="BF5" s="3" t="e">
        <f t="shared" ref="BF5:BF37" si="20">IF(OR($W$10="",$Z$10&lt;&gt;""),NA(),180/PI()*ASIN(SIN(RADIANS($B$3))*SIN(RADIANS($AW$10)) + COS(RADIANS($B$3))*COS(RADIANS($AW$10))*COS(RADIANS(15*(AY5+$B$5-$AV$10)))))</f>
        <v>#N/A</v>
      </c>
      <c r="BG5" s="3" t="e">
        <f t="shared" ref="BG5:BG37" si="21">IF(OR($W$11="",$Z$11&lt;&gt;""),NA(),180/PI()*ASIN(SIN(RADIANS($B$3))*SIN(RADIANS($AW$11)) + COS(RADIANS($B$3))*COS(RADIANS($AW$11))*COS(RADIANS(15*(AY5+$B$5-$AV$11)))))</f>
        <v>#N/A</v>
      </c>
      <c r="BH5" s="3">
        <f t="shared" ref="BH5:BH37" si="22">IF(OR($W$12="",$Z$12&lt;&gt;""),NA(),180/PI()*ASIN(SIN(RADIANS($B$3))*SIN(RADIANS($AW$12)) + COS(RADIANS($B$3))*COS(RADIANS($AW$12))*COS(RADIANS(15*(AY5+$B$5-$AV$12)))))</f>
        <v>67.058242945246946</v>
      </c>
      <c r="BI5" s="3" t="e">
        <f t="shared" ref="BI5:BI37" si="23">IF(OR($W$13="",$Z$13&lt;&gt;""),NA(),180/PI()*ASIN(SIN(RADIANS($B$3))*SIN(RADIANS($AW$13)) + COS(RADIANS($B$3))*COS(RADIANS($AW$13))*COS(RADIANS(15*(AY5+$B$5-$AV$13)))))</f>
        <v>#N/A</v>
      </c>
      <c r="BJ5" s="3" t="e">
        <f t="shared" ref="BJ5:BJ37" si="24">IF(OR($W$14="",$Z$14&lt;&gt;""),NA(),180/PI()*ASIN(SIN(RADIANS($B$3))*SIN(RADIANS($AW$14)) + COS(RADIANS($B$3))*COS(RADIANS($AW$14))*COS(RADIANS(15*(AY5+$B$5-$AV$14)))))</f>
        <v>#N/A</v>
      </c>
      <c r="BK5" s="3" t="e">
        <f t="shared" ref="BK5:BK37" si="25">IF(OR($W$15="",$Z$15&lt;&gt;""),NA(),180/PI()*ASIN(SIN(RADIANS($B$3))*SIN(RADIANS($AW$15)) + COS(RADIANS($B$3))*COS(RADIANS($AW$15))*COS(RADIANS(15*(AY5+$B$5-$AV$15)))))</f>
        <v>#N/A</v>
      </c>
      <c r="BL5" s="3" t="e">
        <f t="shared" ref="BL5:BL37" si="26">IF(OR($W$16="",$Z$16&lt;&gt;""),NA(),180/PI()*ASIN(SIN(RADIANS($B$3))*SIN(RADIANS($AW$16)) + COS(RADIANS($B$3))*COS(RADIANS($AW$16))*COS(RADIANS(15*(AY5+$B$5-$AV$16)))))</f>
        <v>#N/A</v>
      </c>
      <c r="BM5" s="3" t="e">
        <f t="shared" ref="BM5:BM37" si="27">IF(OR($W$17="",$Z$17&lt;&gt;""),NA(),180/PI()*ASIN(SIN(RADIANS($B$3))*SIN(RADIANS($AW$17)) + COS(RADIANS($B$3))*COS(RADIANS($AW$17))*COS(RADIANS(15*(AY5+$B$5-$AV$17)))))</f>
        <v>#N/A</v>
      </c>
      <c r="BN5" s="3" t="e">
        <f t="shared" ref="BN5:BN37" si="28">IF(OR($W$18="",$Z$18&lt;&gt;""),NA(),180/PI()*ASIN(SIN(RADIANS($B$3))*SIN(RADIANS($AW$18)) + COS(RADIANS($B$3))*COS(RADIANS($AW$18))*COS(RADIANS(15*(AY5+$B$5-$AV$18)))))</f>
        <v>#N/A</v>
      </c>
      <c r="BO5" s="3" t="e">
        <f t="shared" ref="BO5:BO37" si="29">IF(OR($W$19="",$Z$19&lt;&gt;""),NA(),180/PI()*ASIN(SIN(RADIANS($B$3))*SIN(RADIANS($AW$19)) + COS(RADIANS($B$3))*COS(RADIANS($AW$19))*COS(RADIANS(15*(AY5+$B$5-$AV$19)))))</f>
        <v>#N/A</v>
      </c>
      <c r="BP5" s="3" t="e">
        <f t="shared" ref="BP5:BP37" si="30">IF(OR($W$20="",$Z$20&lt;&gt;""),NA(),180/PI()*ASIN(SIN(RADIANS($B$3))*SIN(RADIANS($AW$20)) + COS(RADIANS($B$3))*COS(RADIANS($AW$20))*COS(RADIANS(15*(AY5+$B$5-$AV$20)))))</f>
        <v>#N/A</v>
      </c>
      <c r="BQ5" s="3" t="e">
        <f t="shared" ref="BQ5:BQ37" si="31">IF(OR($W$21="",$Z$21&lt;&gt;""),NA(),180/PI()*ASIN(SIN(RADIANS($B$3))*SIN(RADIANS($AW$21)) + COS(RADIANS($B$3))*COS(RADIANS($AW$21))*COS(RADIANS(15*(AY5+$B$5-$AV$21)))))</f>
        <v>#N/A</v>
      </c>
      <c r="BR5" s="3" t="e">
        <f t="shared" ref="BR5:BR37" si="32">IF(OR($W$22="",$Z$22&lt;&gt;""),NA(),180/PI()*ASIN(SIN(RADIANS($B$3))*SIN(RADIANS($AW$22)) + COS(RADIANS($B$3))*COS(RADIANS($AW$22))*COS(RADIANS(15*(AY5+$B$5-$AV$22)))))</f>
        <v>#N/A</v>
      </c>
      <c r="BS5" s="3" t="e">
        <f t="shared" ref="BS5:BS37" si="33">IF(OR($W$23="",$Z$23&lt;&gt;""),NA(),180/PI()*ASIN(SIN(RADIANS($B$3))*SIN(RADIANS($AW$23)) + COS(RADIANS($B$3))*COS(RADIANS($AW$23))*COS(RADIANS(15*(AY5+$B$5-$AV$23)))))</f>
        <v>#N/A</v>
      </c>
      <c r="BT5" s="7" t="e">
        <f t="shared" ref="BT5:BT37" si="34">IF(OR($W$24="",$Z$24&lt;&gt;""),NA(),180/PI()*ASIN(SIN(RADIANS($B$3))*SIN(RADIANS($AW$24)) + COS(RADIANS($B$3))*COS(RADIANS($AW$24))*COS(RADIANS(15*(AY5+$B$5-$AV$24)))))</f>
        <v>#N/A</v>
      </c>
    </row>
    <row r="6" spans="1:72" x14ac:dyDescent="0.2">
      <c r="A6" s="31" t="s">
        <v>42</v>
      </c>
      <c r="B6" s="42">
        <f>MOD(B7+B5,24)</f>
        <v>5.1128287209136722</v>
      </c>
      <c r="C6" s="14" t="s">
        <v>3</v>
      </c>
      <c r="P6" s="3"/>
      <c r="V6" s="24">
        <v>2</v>
      </c>
      <c r="W6" s="5"/>
      <c r="X6" s="5"/>
      <c r="Y6" s="5"/>
      <c r="Z6" s="5"/>
      <c r="AA6" s="207"/>
      <c r="AB6" s="207"/>
      <c r="AC6" s="224"/>
      <c r="AD6" s="34"/>
      <c r="AE6" s="18" t="e">
        <f t="shared" si="0"/>
        <v>#N/A</v>
      </c>
      <c r="AF6" s="96" t="e">
        <f t="shared" si="8"/>
        <v>#N/A</v>
      </c>
      <c r="AG6" s="18" t="e">
        <f t="shared" si="9"/>
        <v>#N/A</v>
      </c>
      <c r="AH6" s="18" t="e">
        <f>IF(OR($AE$4&lt;0,AE6&lt;0),NA(),  Calcs!$B$62*10^(-0.4*Calcs!$B$63*_xlfn.SEC(RADIANS(90-$AE$4)))  *  (1 - 10^(-0.4*Calcs!$B$63*_xlfn.SEC(RADIANS(90-AE6))))  *  (  10^5.36 * (1.06+ (COS(RADIANS(AG6))^2)) + 10^(6.15 - AG6/40) )  )</f>
        <v>#N/A</v>
      </c>
      <c r="AI6" s="220" t="e">
        <f t="shared" si="10"/>
        <v>#N/A</v>
      </c>
      <c r="AJ6" s="65"/>
      <c r="AK6" s="255"/>
      <c r="AL6" s="253" t="e">
        <f t="shared" ref="AL6:AL24" si="35">IF(AK6="",NA(),1/SIN(RADIANS(AK6)))</f>
        <v>#N/A</v>
      </c>
      <c r="AM6" s="254" t="e">
        <f t="shared" ref="AM6:AM24" si="36">IF(AK6="",NA(),180/PI()/15*ACOS( (SIN(RADIANS(AK6)) - SIN(RADIANS($B$3))*SIN(RADIANS(AW6)))/(COS(RADIANS($B$3))*COS(RADIANS(AW6))) ))</f>
        <v>#N/A</v>
      </c>
      <c r="AN6" s="68" t="e">
        <f t="shared" si="1"/>
        <v>#N/A</v>
      </c>
      <c r="AO6" s="64" t="e">
        <f t="shared" si="2"/>
        <v>#N/A</v>
      </c>
      <c r="AP6" s="65" t="e">
        <f t="shared" si="3"/>
        <v>#N/A</v>
      </c>
      <c r="AQ6" s="64" t="e">
        <f t="shared" si="4"/>
        <v>#N/A</v>
      </c>
      <c r="AR6" s="64" t="e">
        <f t="shared" si="5"/>
        <v>#N/A</v>
      </c>
      <c r="AS6" s="35" t="e">
        <f t="shared" si="6"/>
        <v>#N/A</v>
      </c>
      <c r="AT6" s="35" t="e">
        <f t="shared" si="7"/>
        <v>#N/A</v>
      </c>
      <c r="AU6" t="e">
        <f t="shared" si="11"/>
        <v>#N/A</v>
      </c>
      <c r="AV6" s="65" t="e">
        <f t="shared" si="12"/>
        <v>#N/A</v>
      </c>
      <c r="AW6" s="212" t="e">
        <f t="shared" si="13"/>
        <v>#N/A</v>
      </c>
      <c r="AY6" s="29">
        <f t="shared" ref="AY6:AY37" si="37">AY5+0.5</f>
        <v>-0.5</v>
      </c>
      <c r="AZ6" s="3">
        <f t="shared" si="14"/>
        <v>10.217680608668887</v>
      </c>
      <c r="BA6" s="3" t="e">
        <f t="shared" si="15"/>
        <v>#N/A</v>
      </c>
      <c r="BB6" s="3" t="e">
        <f t="shared" si="16"/>
        <v>#N/A</v>
      </c>
      <c r="BC6" s="3" t="e">
        <f t="shared" si="17"/>
        <v>#N/A</v>
      </c>
      <c r="BD6" s="3" t="e">
        <f t="shared" si="18"/>
        <v>#N/A</v>
      </c>
      <c r="BE6" s="3" t="e">
        <f t="shared" si="19"/>
        <v>#N/A</v>
      </c>
      <c r="BF6" s="3" t="e">
        <f t="shared" si="20"/>
        <v>#N/A</v>
      </c>
      <c r="BG6" s="3" t="e">
        <f t="shared" si="21"/>
        <v>#N/A</v>
      </c>
      <c r="BH6" s="3">
        <f t="shared" si="22"/>
        <v>71.917159971126168</v>
      </c>
      <c r="BI6" s="3" t="e">
        <f t="shared" si="23"/>
        <v>#N/A</v>
      </c>
      <c r="BJ6" s="3" t="e">
        <f t="shared" si="24"/>
        <v>#N/A</v>
      </c>
      <c r="BK6" s="3" t="e">
        <f t="shared" si="25"/>
        <v>#N/A</v>
      </c>
      <c r="BL6" s="3" t="e">
        <f t="shared" si="26"/>
        <v>#N/A</v>
      </c>
      <c r="BM6" s="3" t="e">
        <f t="shared" si="27"/>
        <v>#N/A</v>
      </c>
      <c r="BN6" s="3" t="e">
        <f t="shared" si="28"/>
        <v>#N/A</v>
      </c>
      <c r="BO6" s="3" t="e">
        <f t="shared" si="29"/>
        <v>#N/A</v>
      </c>
      <c r="BP6" s="3" t="e">
        <f t="shared" si="30"/>
        <v>#N/A</v>
      </c>
      <c r="BQ6" s="3" t="e">
        <f t="shared" si="31"/>
        <v>#N/A</v>
      </c>
      <c r="BR6" s="3" t="e">
        <f t="shared" si="32"/>
        <v>#N/A</v>
      </c>
      <c r="BS6" s="3" t="e">
        <f t="shared" si="33"/>
        <v>#N/A</v>
      </c>
      <c r="BT6" s="7" t="e">
        <f t="shared" si="34"/>
        <v>#N/A</v>
      </c>
    </row>
    <row r="7" spans="1:72" ht="17" thickBot="1" x14ac:dyDescent="0.25">
      <c r="A7" s="31" t="s">
        <v>35</v>
      </c>
      <c r="B7" s="16">
        <f>INT(B8) + 100*MOD(B8,1)/60</f>
        <v>1.9666666666666668</v>
      </c>
      <c r="C7" s="14" t="s">
        <v>3</v>
      </c>
      <c r="P7" s="3"/>
      <c r="V7" s="24">
        <v>3</v>
      </c>
      <c r="W7" s="5" t="s">
        <v>259</v>
      </c>
      <c r="X7" s="5" t="s">
        <v>112</v>
      </c>
      <c r="Y7" s="5">
        <v>2</v>
      </c>
      <c r="Z7" s="5" t="s">
        <v>127</v>
      </c>
      <c r="AA7" s="207">
        <v>0.42</v>
      </c>
      <c r="AB7" s="207">
        <v>0.33</v>
      </c>
      <c r="AC7" s="224">
        <f>10/60</f>
        <v>0.16666666666666666</v>
      </c>
      <c r="AD7" s="34">
        <v>2.7</v>
      </c>
      <c r="AE7" s="18" t="e">
        <f t="shared" si="0"/>
        <v>#N/A</v>
      </c>
      <c r="AF7" s="96" t="e">
        <f t="shared" si="8"/>
        <v>#N/A</v>
      </c>
      <c r="AG7" s="18" t="e">
        <f t="shared" si="9"/>
        <v>#N/A</v>
      </c>
      <c r="AH7" s="18" t="e">
        <f>IF(OR($AE$4&lt;0,AE7&lt;0),NA(),  Calcs!$B$62*10^(-0.4*Calcs!$B$63*_xlfn.SEC(RADIANS(90-$AE$4)))  *  (1 - 10^(-0.4*Calcs!$B$63*_xlfn.SEC(RADIANS(90-AE7))))  *  (  10^5.36 * (1.06+ (COS(RADIANS(AG7))^2)) + 10^(6.15 - AG7/40) )  )</f>
        <v>#N/A</v>
      </c>
      <c r="AI7" s="220" t="e">
        <f t="shared" si="10"/>
        <v>#N/A</v>
      </c>
      <c r="AJ7" s="65"/>
      <c r="AK7" s="255">
        <v>40</v>
      </c>
      <c r="AL7" s="253">
        <f t="shared" si="35"/>
        <v>1.5557238268604126</v>
      </c>
      <c r="AM7" s="254">
        <f t="shared" si="36"/>
        <v>2.7157484382419654</v>
      </c>
      <c r="AN7" s="68" t="e">
        <f t="shared" si="1"/>
        <v>#N/A</v>
      </c>
      <c r="AO7" s="64" t="e">
        <f t="shared" si="2"/>
        <v>#N/A</v>
      </c>
      <c r="AP7" s="65" t="e">
        <f t="shared" si="3"/>
        <v>#N/A</v>
      </c>
      <c r="AQ7" s="64" t="e">
        <f t="shared" si="4"/>
        <v>#N/A</v>
      </c>
      <c r="AR7" s="64" t="e">
        <f t="shared" si="5"/>
        <v>#N/A</v>
      </c>
      <c r="AS7" s="35" t="e">
        <f t="shared" si="6"/>
        <v>#N/A</v>
      </c>
      <c r="AT7" s="35" t="e">
        <f t="shared" si="7"/>
        <v>#N/A</v>
      </c>
      <c r="AU7" t="e">
        <f t="shared" si="11"/>
        <v>#N/A</v>
      </c>
      <c r="AV7" s="65">
        <f t="shared" si="12"/>
        <v>0.7</v>
      </c>
      <c r="AW7" s="212">
        <f t="shared" si="13"/>
        <v>0.55000000000000004</v>
      </c>
      <c r="AY7" s="29">
        <f t="shared" si="37"/>
        <v>0</v>
      </c>
      <c r="AZ7" s="3">
        <f t="shared" si="14"/>
        <v>4.3719928023574637</v>
      </c>
      <c r="BA7" s="3" t="e">
        <f t="shared" si="15"/>
        <v>#N/A</v>
      </c>
      <c r="BB7" s="3" t="e">
        <f t="shared" si="16"/>
        <v>#N/A</v>
      </c>
      <c r="BC7" s="3" t="e">
        <f t="shared" si="17"/>
        <v>#N/A</v>
      </c>
      <c r="BD7" s="3" t="e">
        <f t="shared" si="18"/>
        <v>#N/A</v>
      </c>
      <c r="BE7" s="3" t="e">
        <f t="shared" si="19"/>
        <v>#N/A</v>
      </c>
      <c r="BF7" s="3" t="e">
        <f t="shared" si="20"/>
        <v>#N/A</v>
      </c>
      <c r="BG7" s="3" t="e">
        <f t="shared" si="21"/>
        <v>#N/A</v>
      </c>
      <c r="BH7" s="3">
        <f t="shared" si="22"/>
        <v>75.24404146910814</v>
      </c>
      <c r="BI7" s="3" t="e">
        <f t="shared" si="23"/>
        <v>#N/A</v>
      </c>
      <c r="BJ7" s="3" t="e">
        <f t="shared" si="24"/>
        <v>#N/A</v>
      </c>
      <c r="BK7" s="3" t="e">
        <f t="shared" si="25"/>
        <v>#N/A</v>
      </c>
      <c r="BL7" s="3" t="e">
        <f t="shared" si="26"/>
        <v>#N/A</v>
      </c>
      <c r="BM7" s="3" t="e">
        <f t="shared" si="27"/>
        <v>#N/A</v>
      </c>
      <c r="BN7" s="3" t="e">
        <f t="shared" si="28"/>
        <v>#N/A</v>
      </c>
      <c r="BO7" s="3" t="e">
        <f t="shared" si="29"/>
        <v>#N/A</v>
      </c>
      <c r="BP7" s="3" t="e">
        <f t="shared" si="30"/>
        <v>#N/A</v>
      </c>
      <c r="BQ7" s="3" t="e">
        <f t="shared" si="31"/>
        <v>#N/A</v>
      </c>
      <c r="BR7" s="3" t="e">
        <f t="shared" si="32"/>
        <v>#N/A</v>
      </c>
      <c r="BS7" s="3" t="e">
        <f t="shared" si="33"/>
        <v>#N/A</v>
      </c>
      <c r="BT7" s="7" t="e">
        <f t="shared" si="34"/>
        <v>#N/A</v>
      </c>
    </row>
    <row r="8" spans="1:72" ht="17" thickBot="1" x14ac:dyDescent="0.25">
      <c r="A8" s="31" t="s">
        <v>35</v>
      </c>
      <c r="B8" s="117">
        <v>1.58</v>
      </c>
      <c r="C8" s="14" t="s">
        <v>124</v>
      </c>
      <c r="P8" s="3"/>
      <c r="V8" s="24">
        <v>4</v>
      </c>
      <c r="W8" s="36" t="s">
        <v>260</v>
      </c>
      <c r="X8" s="36" t="s">
        <v>112</v>
      </c>
      <c r="Y8" s="5">
        <v>2</v>
      </c>
      <c r="Z8" s="5" t="s">
        <v>127</v>
      </c>
      <c r="AA8" s="207">
        <v>1.58</v>
      </c>
      <c r="AB8" s="207">
        <v>39</v>
      </c>
      <c r="AC8" s="224">
        <f>800/3600</f>
        <v>0.22222222222222221</v>
      </c>
      <c r="AD8" s="100">
        <v>4.2</v>
      </c>
      <c r="AE8" s="18" t="e">
        <f t="shared" si="0"/>
        <v>#N/A</v>
      </c>
      <c r="AF8" s="96" t="e">
        <f t="shared" si="8"/>
        <v>#N/A</v>
      </c>
      <c r="AG8" s="18" t="e">
        <f t="shared" si="9"/>
        <v>#N/A</v>
      </c>
      <c r="AH8" s="18" t="e">
        <f>IF(OR($AE$4&lt;0,AE8&lt;0),NA(),  Calcs!$B$62*10^(-0.4*Calcs!$B$63*_xlfn.SEC(RADIANS(90-$AE$4)))  *  (1 - 10^(-0.4*Calcs!$B$63*_xlfn.SEC(RADIANS(90-AE8))))  *  (  10^5.36 * (1.06+ (COS(RADIANS(AG8))^2)) + 10^(6.15 - AG8/40) )  )</f>
        <v>#N/A</v>
      </c>
      <c r="AI8" s="220" t="e">
        <f t="shared" si="10"/>
        <v>#N/A</v>
      </c>
      <c r="AJ8" s="65"/>
      <c r="AK8" s="255">
        <v>40</v>
      </c>
      <c r="AL8" s="253">
        <f t="shared" si="35"/>
        <v>1.5557238268604126</v>
      </c>
      <c r="AM8" s="254">
        <f t="shared" si="36"/>
        <v>4.1611958279540611</v>
      </c>
      <c r="AN8" s="68" t="e">
        <f t="shared" si="1"/>
        <v>#N/A</v>
      </c>
      <c r="AO8" s="64" t="e">
        <f t="shared" si="2"/>
        <v>#N/A</v>
      </c>
      <c r="AP8" s="65" t="e">
        <f t="shared" si="3"/>
        <v>#N/A</v>
      </c>
      <c r="AQ8" s="64" t="e">
        <f t="shared" si="4"/>
        <v>#N/A</v>
      </c>
      <c r="AR8" s="64" t="e">
        <f t="shared" si="5"/>
        <v>#N/A</v>
      </c>
      <c r="AS8" s="35" t="e">
        <f t="shared" si="6"/>
        <v>#N/A</v>
      </c>
      <c r="AT8" s="35" t="e">
        <f t="shared" si="7"/>
        <v>#N/A</v>
      </c>
      <c r="AU8" t="e">
        <f t="shared" si="11"/>
        <v>#N/A</v>
      </c>
      <c r="AV8" s="65">
        <f t="shared" si="12"/>
        <v>1.9666666666666668</v>
      </c>
      <c r="AW8" s="212">
        <f t="shared" si="13"/>
        <v>39</v>
      </c>
      <c r="AY8" s="29">
        <f t="shared" si="37"/>
        <v>0.5</v>
      </c>
      <c r="AZ8" s="3">
        <f t="shared" si="14"/>
        <v>-1.6329306079357193</v>
      </c>
      <c r="BA8" s="3" t="e">
        <f t="shared" si="15"/>
        <v>#N/A</v>
      </c>
      <c r="BB8" s="3" t="e">
        <f t="shared" si="16"/>
        <v>#N/A</v>
      </c>
      <c r="BC8" s="3" t="e">
        <f t="shared" si="17"/>
        <v>#N/A</v>
      </c>
      <c r="BD8" s="3" t="e">
        <f t="shared" si="18"/>
        <v>#N/A</v>
      </c>
      <c r="BE8" s="3" t="e">
        <f t="shared" si="19"/>
        <v>#N/A</v>
      </c>
      <c r="BF8" s="3" t="e">
        <f t="shared" si="20"/>
        <v>#N/A</v>
      </c>
      <c r="BG8" s="3" t="e">
        <f t="shared" si="21"/>
        <v>#N/A</v>
      </c>
      <c r="BH8" s="3">
        <f t="shared" si="22"/>
        <v>75.895513587753953</v>
      </c>
      <c r="BI8" s="3" t="e">
        <f t="shared" si="23"/>
        <v>#N/A</v>
      </c>
      <c r="BJ8" s="3" t="e">
        <f t="shared" si="24"/>
        <v>#N/A</v>
      </c>
      <c r="BK8" s="3" t="e">
        <f t="shared" si="25"/>
        <v>#N/A</v>
      </c>
      <c r="BL8" s="3" t="e">
        <f t="shared" si="26"/>
        <v>#N/A</v>
      </c>
      <c r="BM8" s="3" t="e">
        <f t="shared" si="27"/>
        <v>#N/A</v>
      </c>
      <c r="BN8" s="3" t="e">
        <f t="shared" si="28"/>
        <v>#N/A</v>
      </c>
      <c r="BO8" s="3" t="e">
        <f t="shared" si="29"/>
        <v>#N/A</v>
      </c>
      <c r="BP8" s="3" t="e">
        <f t="shared" si="30"/>
        <v>#N/A</v>
      </c>
      <c r="BQ8" s="3" t="e">
        <f t="shared" si="31"/>
        <v>#N/A</v>
      </c>
      <c r="BR8" s="3" t="e">
        <f t="shared" si="32"/>
        <v>#N/A</v>
      </c>
      <c r="BS8" s="3" t="e">
        <f t="shared" si="33"/>
        <v>#N/A</v>
      </c>
      <c r="BT8" s="7" t="e">
        <f t="shared" si="34"/>
        <v>#N/A</v>
      </c>
    </row>
    <row r="9" spans="1:72" ht="17" thickBot="1" x14ac:dyDescent="0.25">
      <c r="A9" s="8"/>
      <c r="B9" s="9"/>
      <c r="C9" s="15"/>
      <c r="D9" s="1"/>
      <c r="V9" s="24">
        <v>5</v>
      </c>
      <c r="W9" s="5" t="s">
        <v>261</v>
      </c>
      <c r="X9" s="5" t="s">
        <v>112</v>
      </c>
      <c r="Y9" s="5">
        <v>2</v>
      </c>
      <c r="Z9" s="5" t="s">
        <v>127</v>
      </c>
      <c r="AA9" s="207">
        <v>2.25</v>
      </c>
      <c r="AB9" s="207">
        <v>1.08</v>
      </c>
      <c r="AC9" s="224"/>
      <c r="AD9" s="34"/>
      <c r="AE9" s="18" t="e">
        <f t="shared" si="0"/>
        <v>#N/A</v>
      </c>
      <c r="AF9" s="96" t="e">
        <f t="shared" si="8"/>
        <v>#N/A</v>
      </c>
      <c r="AG9" s="18" t="e">
        <f t="shared" si="9"/>
        <v>#N/A</v>
      </c>
      <c r="AH9" s="18" t="e">
        <f>IF(OR($AE$4&lt;0,AE9&lt;0),NA(),  Calcs!$B$62*10^(-0.4*Calcs!$B$63*_xlfn.SEC(RADIANS(90-$AE$4)))  *  (1 - 10^(-0.4*Calcs!$B$63*_xlfn.SEC(RADIANS(90-AE9))))  *  (  10^5.36 * (1.06+ (COS(RADIANS(AG9))^2)) + 10^(6.15 - AG9/40) )  )</f>
        <v>#N/A</v>
      </c>
      <c r="AI9" s="220" t="e">
        <f t="shared" si="10"/>
        <v>#N/A</v>
      </c>
      <c r="AJ9" s="65"/>
      <c r="AK9" s="255"/>
      <c r="AL9" s="253" t="e">
        <f t="shared" si="35"/>
        <v>#N/A</v>
      </c>
      <c r="AM9" s="254" t="e">
        <f t="shared" si="36"/>
        <v>#N/A</v>
      </c>
      <c r="AN9" s="68" t="e">
        <f t="shared" si="1"/>
        <v>#N/A</v>
      </c>
      <c r="AO9" s="64" t="e">
        <f t="shared" si="2"/>
        <v>#N/A</v>
      </c>
      <c r="AP9" s="65" t="e">
        <f t="shared" si="3"/>
        <v>#N/A</v>
      </c>
      <c r="AQ9" s="64" t="e">
        <f t="shared" si="4"/>
        <v>#N/A</v>
      </c>
      <c r="AR9" s="64" t="e">
        <f t="shared" si="5"/>
        <v>#N/A</v>
      </c>
      <c r="AS9" s="35" t="e">
        <f t="shared" si="6"/>
        <v>#N/A</v>
      </c>
      <c r="AT9" s="35" t="e">
        <f t="shared" si="7"/>
        <v>#N/A</v>
      </c>
      <c r="AU9" t="e">
        <f t="shared" si="11"/>
        <v>#N/A</v>
      </c>
      <c r="AV9" s="65">
        <f t="shared" si="12"/>
        <v>2.4166666666666665</v>
      </c>
      <c r="AW9" s="212">
        <f t="shared" si="13"/>
        <v>1.1333333333333335</v>
      </c>
      <c r="AY9" s="29">
        <f t="shared" si="37"/>
        <v>1</v>
      </c>
      <c r="AZ9" s="3">
        <f t="shared" si="14"/>
        <v>-7.7587954851544456</v>
      </c>
      <c r="BA9" s="3" t="e">
        <f t="shared" si="15"/>
        <v>#N/A</v>
      </c>
      <c r="BB9" s="3" t="e">
        <f t="shared" si="16"/>
        <v>#N/A</v>
      </c>
      <c r="BC9" s="3" t="e">
        <f t="shared" si="17"/>
        <v>#N/A</v>
      </c>
      <c r="BD9" s="3" t="e">
        <f t="shared" si="18"/>
        <v>#N/A</v>
      </c>
      <c r="BE9" s="3" t="e">
        <f t="shared" si="19"/>
        <v>#N/A</v>
      </c>
      <c r="BF9" s="3" t="e">
        <f t="shared" si="20"/>
        <v>#N/A</v>
      </c>
      <c r="BG9" s="3" t="e">
        <f t="shared" si="21"/>
        <v>#N/A</v>
      </c>
      <c r="BH9" s="3">
        <f t="shared" si="22"/>
        <v>73.54868003281058</v>
      </c>
      <c r="BI9" s="3" t="e">
        <f t="shared" si="23"/>
        <v>#N/A</v>
      </c>
      <c r="BJ9" s="3" t="e">
        <f t="shared" si="24"/>
        <v>#N/A</v>
      </c>
      <c r="BK9" s="3" t="e">
        <f t="shared" si="25"/>
        <v>#N/A</v>
      </c>
      <c r="BL9" s="3" t="e">
        <f t="shared" si="26"/>
        <v>#N/A</v>
      </c>
      <c r="BM9" s="3" t="e">
        <f t="shared" si="27"/>
        <v>#N/A</v>
      </c>
      <c r="BN9" s="3" t="e">
        <f t="shared" si="28"/>
        <v>#N/A</v>
      </c>
      <c r="BO9" s="3" t="e">
        <f t="shared" si="29"/>
        <v>#N/A</v>
      </c>
      <c r="BP9" s="3" t="e">
        <f t="shared" si="30"/>
        <v>#N/A</v>
      </c>
      <c r="BQ9" s="3" t="e">
        <f t="shared" si="31"/>
        <v>#N/A</v>
      </c>
      <c r="BR9" s="3" t="e">
        <f t="shared" si="32"/>
        <v>#N/A</v>
      </c>
      <c r="BS9" s="3" t="e">
        <f t="shared" si="33"/>
        <v>#N/A</v>
      </c>
      <c r="BT9" s="7" t="e">
        <f t="shared" si="34"/>
        <v>#N/A</v>
      </c>
    </row>
    <row r="10" spans="1:72" ht="17" thickBot="1" x14ac:dyDescent="0.25">
      <c r="V10" s="24">
        <v>6</v>
      </c>
      <c r="W10" s="5" t="s">
        <v>262</v>
      </c>
      <c r="X10" s="5" t="s">
        <v>112</v>
      </c>
      <c r="Y10" s="5">
        <v>2</v>
      </c>
      <c r="Z10" s="5" t="s">
        <v>127</v>
      </c>
      <c r="AA10" s="207">
        <v>20.309999999999999</v>
      </c>
      <c r="AB10" s="207">
        <v>15</v>
      </c>
      <c r="AC10" s="224">
        <f>800/3600</f>
        <v>0.22222222222222221</v>
      </c>
      <c r="AD10" s="95">
        <v>3.5</v>
      </c>
      <c r="AE10" s="18" t="e">
        <f t="shared" si="0"/>
        <v>#N/A</v>
      </c>
      <c r="AF10" s="96" t="e">
        <f t="shared" si="8"/>
        <v>#N/A</v>
      </c>
      <c r="AG10" s="18" t="e">
        <f t="shared" si="9"/>
        <v>#N/A</v>
      </c>
      <c r="AH10" s="18" t="e">
        <f>IF(OR($AE$4&lt;0,AE10&lt;0),NA(),  Calcs!$B$62*10^(-0.4*Calcs!$B$63*_xlfn.SEC(RADIANS(90-$AE$4)))  *  (1 - 10^(-0.4*Calcs!$B$63*_xlfn.SEC(RADIANS(90-AE10))))  *  (  10^5.36 * (1.06+ (COS(RADIANS(AG10))^2)) + 10^(6.15 - AG10/40) )  )</f>
        <v>#N/A</v>
      </c>
      <c r="AI10" s="220" t="e">
        <f t="shared" si="10"/>
        <v>#N/A</v>
      </c>
      <c r="AJ10" s="65"/>
      <c r="AK10" s="255">
        <v>40</v>
      </c>
      <c r="AL10" s="253">
        <f t="shared" si="35"/>
        <v>1.5557238268604126</v>
      </c>
      <c r="AM10" s="254">
        <f t="shared" si="36"/>
        <v>3.4515516175284802</v>
      </c>
      <c r="AN10" s="68" t="e">
        <f t="shared" si="1"/>
        <v>#N/A</v>
      </c>
      <c r="AO10" s="64" t="e">
        <f t="shared" si="2"/>
        <v>#N/A</v>
      </c>
      <c r="AP10" s="65" t="e">
        <f t="shared" si="3"/>
        <v>#N/A</v>
      </c>
      <c r="AQ10" s="64" t="e">
        <f t="shared" si="4"/>
        <v>#N/A</v>
      </c>
      <c r="AR10" s="64" t="e">
        <f t="shared" si="5"/>
        <v>#N/A</v>
      </c>
      <c r="AS10" s="35" t="e">
        <f t="shared" si="6"/>
        <v>#N/A</v>
      </c>
      <c r="AT10" s="35" t="e">
        <f t="shared" si="7"/>
        <v>#N/A</v>
      </c>
      <c r="AU10" t="e">
        <f t="shared" si="11"/>
        <v>#N/A</v>
      </c>
      <c r="AV10" s="65">
        <f t="shared" si="12"/>
        <v>20.516666666666666</v>
      </c>
      <c r="AW10" s="212">
        <f t="shared" si="13"/>
        <v>15</v>
      </c>
      <c r="AY10" s="29">
        <f t="shared" si="37"/>
        <v>1.5</v>
      </c>
      <c r="AZ10" s="3">
        <f t="shared" si="14"/>
        <v>-13.973118424042072</v>
      </c>
      <c r="BA10" s="3" t="e">
        <f t="shared" si="15"/>
        <v>#N/A</v>
      </c>
      <c r="BB10" s="3" t="e">
        <f t="shared" si="16"/>
        <v>#N/A</v>
      </c>
      <c r="BC10" s="3" t="e">
        <f t="shared" si="17"/>
        <v>#N/A</v>
      </c>
      <c r="BD10" s="3" t="e">
        <f t="shared" si="18"/>
        <v>#N/A</v>
      </c>
      <c r="BE10" s="3" t="e">
        <f t="shared" si="19"/>
        <v>#N/A</v>
      </c>
      <c r="BF10" s="3" t="e">
        <f t="shared" si="20"/>
        <v>#N/A</v>
      </c>
      <c r="BG10" s="3" t="e">
        <f t="shared" si="21"/>
        <v>#N/A</v>
      </c>
      <c r="BH10" s="3">
        <f t="shared" si="22"/>
        <v>69.20027681342151</v>
      </c>
      <c r="BI10" s="3" t="e">
        <f t="shared" si="23"/>
        <v>#N/A</v>
      </c>
      <c r="BJ10" s="3" t="e">
        <f t="shared" si="24"/>
        <v>#N/A</v>
      </c>
      <c r="BK10" s="3" t="e">
        <f t="shared" si="25"/>
        <v>#N/A</v>
      </c>
      <c r="BL10" s="3" t="e">
        <f t="shared" si="26"/>
        <v>#N/A</v>
      </c>
      <c r="BM10" s="3" t="e">
        <f t="shared" si="27"/>
        <v>#N/A</v>
      </c>
      <c r="BN10" s="3" t="e">
        <f t="shared" si="28"/>
        <v>#N/A</v>
      </c>
      <c r="BO10" s="3" t="e">
        <f t="shared" si="29"/>
        <v>#N/A</v>
      </c>
      <c r="BP10" s="3" t="e">
        <f t="shared" si="30"/>
        <v>#N/A</v>
      </c>
      <c r="BQ10" s="3" t="e">
        <f t="shared" si="31"/>
        <v>#N/A</v>
      </c>
      <c r="BR10" s="3" t="e">
        <f t="shared" si="32"/>
        <v>#N/A</v>
      </c>
      <c r="BS10" s="3" t="e">
        <f t="shared" si="33"/>
        <v>#N/A</v>
      </c>
      <c r="BT10" s="7" t="e">
        <f t="shared" si="34"/>
        <v>#N/A</v>
      </c>
    </row>
    <row r="11" spans="1:72" x14ac:dyDescent="0.2">
      <c r="A11" s="310" t="s">
        <v>69</v>
      </c>
      <c r="B11" s="311"/>
      <c r="C11" s="312"/>
      <c r="V11" s="24">
        <v>7</v>
      </c>
      <c r="W11" s="5"/>
      <c r="X11" s="5"/>
      <c r="Y11" s="5"/>
      <c r="Z11" s="5"/>
      <c r="AA11" s="207"/>
      <c r="AB11" s="207"/>
      <c r="AC11" s="225"/>
      <c r="AD11" s="5"/>
      <c r="AE11" s="18" t="e">
        <f t="shared" si="0"/>
        <v>#N/A</v>
      </c>
      <c r="AF11" s="96" t="e">
        <f t="shared" si="8"/>
        <v>#N/A</v>
      </c>
      <c r="AG11" s="18" t="e">
        <f t="shared" si="9"/>
        <v>#N/A</v>
      </c>
      <c r="AH11" s="18" t="e">
        <f>IF(OR($AE$4&lt;0,AE11&lt;0),NA(),  Calcs!$B$62*10^(-0.4*Calcs!$B$63*_xlfn.SEC(RADIANS(90-$AE$4)))  *  (1 - 10^(-0.4*Calcs!$B$63*_xlfn.SEC(RADIANS(90-AE11))))  *  (  10^5.36 * (1.06+ (COS(RADIANS(AG11))^2)) + 10^(6.15 - AG11/40) )  )</f>
        <v>#N/A</v>
      </c>
      <c r="AI11" s="220" t="e">
        <f t="shared" si="10"/>
        <v>#N/A</v>
      </c>
      <c r="AJ11" s="65"/>
      <c r="AK11" s="255"/>
      <c r="AL11" s="253" t="e">
        <f t="shared" si="35"/>
        <v>#N/A</v>
      </c>
      <c r="AM11" s="254" t="e">
        <f t="shared" si="36"/>
        <v>#N/A</v>
      </c>
      <c r="AN11" s="68" t="e">
        <f t="shared" si="1"/>
        <v>#N/A</v>
      </c>
      <c r="AO11" s="64" t="e">
        <f t="shared" si="2"/>
        <v>#N/A</v>
      </c>
      <c r="AP11" s="65" t="e">
        <f t="shared" si="3"/>
        <v>#N/A</v>
      </c>
      <c r="AQ11" s="64" t="e">
        <f t="shared" si="4"/>
        <v>#N/A</v>
      </c>
      <c r="AR11" s="64" t="e">
        <f t="shared" si="5"/>
        <v>#N/A</v>
      </c>
      <c r="AS11" s="35" t="e">
        <f t="shared" si="6"/>
        <v>#N/A</v>
      </c>
      <c r="AT11" s="35" t="e">
        <f t="shared" si="7"/>
        <v>#N/A</v>
      </c>
      <c r="AU11" t="e">
        <f t="shared" si="11"/>
        <v>#N/A</v>
      </c>
      <c r="AV11" s="65" t="e">
        <f t="shared" si="12"/>
        <v>#N/A</v>
      </c>
      <c r="AW11" s="212" t="e">
        <f t="shared" si="13"/>
        <v>#N/A</v>
      </c>
      <c r="AY11" s="29">
        <f t="shared" si="37"/>
        <v>2</v>
      </c>
      <c r="AZ11" s="3">
        <f t="shared" si="14"/>
        <v>-20.2468407919676</v>
      </c>
      <c r="BA11" s="3" t="e">
        <f t="shared" si="15"/>
        <v>#N/A</v>
      </c>
      <c r="BB11" s="3" t="e">
        <f t="shared" si="16"/>
        <v>#N/A</v>
      </c>
      <c r="BC11" s="3" t="e">
        <f t="shared" si="17"/>
        <v>#N/A</v>
      </c>
      <c r="BD11" s="3" t="e">
        <f t="shared" si="18"/>
        <v>#N/A</v>
      </c>
      <c r="BE11" s="3" t="e">
        <f t="shared" si="19"/>
        <v>#N/A</v>
      </c>
      <c r="BF11" s="3" t="e">
        <f t="shared" si="20"/>
        <v>#N/A</v>
      </c>
      <c r="BG11" s="3" t="e">
        <f t="shared" si="21"/>
        <v>#N/A</v>
      </c>
      <c r="BH11" s="3">
        <f t="shared" si="22"/>
        <v>63.840166798434886</v>
      </c>
      <c r="BI11" s="3" t="e">
        <f t="shared" si="23"/>
        <v>#N/A</v>
      </c>
      <c r="BJ11" s="3" t="e">
        <f t="shared" si="24"/>
        <v>#N/A</v>
      </c>
      <c r="BK11" s="3" t="e">
        <f t="shared" si="25"/>
        <v>#N/A</v>
      </c>
      <c r="BL11" s="3" t="e">
        <f t="shared" si="26"/>
        <v>#N/A</v>
      </c>
      <c r="BM11" s="3" t="e">
        <f t="shared" si="27"/>
        <v>#N/A</v>
      </c>
      <c r="BN11" s="3" t="e">
        <f t="shared" si="28"/>
        <v>#N/A</v>
      </c>
      <c r="BO11" s="3" t="e">
        <f t="shared" si="29"/>
        <v>#N/A</v>
      </c>
      <c r="BP11" s="3" t="e">
        <f t="shared" si="30"/>
        <v>#N/A</v>
      </c>
      <c r="BQ11" s="3" t="e">
        <f t="shared" si="31"/>
        <v>#N/A</v>
      </c>
      <c r="BR11" s="3" t="e">
        <f t="shared" si="32"/>
        <v>#N/A</v>
      </c>
      <c r="BS11" s="3" t="e">
        <f t="shared" si="33"/>
        <v>#N/A</v>
      </c>
      <c r="BT11" s="7" t="e">
        <f t="shared" si="34"/>
        <v>#N/A</v>
      </c>
    </row>
    <row r="12" spans="1:72" x14ac:dyDescent="0.2">
      <c r="A12" s="150" t="s">
        <v>18</v>
      </c>
      <c r="B12" s="192">
        <f>INT(Calcs!B33) + MOD(Calcs!B33,1)*60/100</f>
        <v>1.1486350050189906</v>
      </c>
      <c r="C12" s="151" t="s">
        <v>141</v>
      </c>
      <c r="V12" s="24">
        <v>8</v>
      </c>
      <c r="W12" s="5" t="s">
        <v>288</v>
      </c>
      <c r="X12" s="5" t="s">
        <v>115</v>
      </c>
      <c r="Y12" s="5">
        <v>1</v>
      </c>
      <c r="Z12" s="5"/>
      <c r="AA12" s="207">
        <v>3.3</v>
      </c>
      <c r="AB12" s="207">
        <v>18.440000000000001</v>
      </c>
      <c r="AC12" s="224">
        <v>3</v>
      </c>
      <c r="AD12" s="34"/>
      <c r="AE12" s="18">
        <f t="shared" si="0"/>
        <v>64.216660702408021</v>
      </c>
      <c r="AF12" s="96">
        <f t="shared" si="8"/>
        <v>-4.6128287209136722</v>
      </c>
      <c r="AG12" s="18" t="e">
        <f t="shared" si="9"/>
        <v>#N/A</v>
      </c>
      <c r="AH12" s="18" t="e">
        <f>IF(OR($AE$4&lt;0,AE12&lt;0),NA(),  Calcs!$B$62*10^(-0.4*Calcs!$B$63*_xlfn.SEC(RADIANS(90-$AE$4)))  *  (1 - 10^(-0.4*Calcs!$B$63*_xlfn.SEC(RADIANS(90-AE12))))  *  (  10^5.36 * (1.06+ (COS(RADIANS(AG12))^2)) + 10^(6.15 - AG12/40) )  )</f>
        <v>#N/A</v>
      </c>
      <c r="AI12" s="220" t="e">
        <f t="shared" si="10"/>
        <v>#N/A</v>
      </c>
      <c r="AJ12" s="65"/>
      <c r="AK12" s="255"/>
      <c r="AL12" s="253" t="e">
        <f t="shared" si="35"/>
        <v>#N/A</v>
      </c>
      <c r="AM12" s="254" t="e">
        <f t="shared" si="36"/>
        <v>#N/A</v>
      </c>
      <c r="AN12" s="68">
        <f t="shared" si="1"/>
        <v>1.6128287209136727</v>
      </c>
      <c r="AO12" s="64">
        <f t="shared" si="2"/>
        <v>243.15482610813416</v>
      </c>
      <c r="AP12" s="65">
        <f t="shared" si="3"/>
        <v>0.3538379457529941</v>
      </c>
      <c r="AQ12" s="64">
        <f t="shared" si="4"/>
        <v>76.033333333333331</v>
      </c>
      <c r="AR12" s="64">
        <f t="shared" si="5"/>
        <v>52.45002654919611</v>
      </c>
      <c r="AS12" s="35">
        <f t="shared" si="6"/>
        <v>0.25560744689498605</v>
      </c>
      <c r="AT12" s="35">
        <f t="shared" si="7"/>
        <v>-0.12936966527609153</v>
      </c>
      <c r="AU12" t="e">
        <f t="shared" si="11"/>
        <v>#N/A</v>
      </c>
      <c r="AV12" s="65">
        <f t="shared" si="12"/>
        <v>3.4999999999999996</v>
      </c>
      <c r="AW12" s="212">
        <f t="shared" si="13"/>
        <v>18.733333333333334</v>
      </c>
      <c r="AY12" s="29">
        <f t="shared" si="37"/>
        <v>2.5</v>
      </c>
      <c r="AZ12" s="3">
        <f t="shared" si="14"/>
        <v>-26.551971561349109</v>
      </c>
      <c r="BA12" s="3" t="e">
        <f t="shared" si="15"/>
        <v>#N/A</v>
      </c>
      <c r="BB12" s="3" t="e">
        <f t="shared" si="16"/>
        <v>#N/A</v>
      </c>
      <c r="BC12" s="3" t="e">
        <f t="shared" si="17"/>
        <v>#N/A</v>
      </c>
      <c r="BD12" s="3" t="e">
        <f t="shared" si="18"/>
        <v>#N/A</v>
      </c>
      <c r="BE12" s="3" t="e">
        <f t="shared" si="19"/>
        <v>#N/A</v>
      </c>
      <c r="BF12" s="3" t="e">
        <f t="shared" si="20"/>
        <v>#N/A</v>
      </c>
      <c r="BG12" s="3" t="e">
        <f t="shared" si="21"/>
        <v>#N/A</v>
      </c>
      <c r="BH12" s="3">
        <f t="shared" si="22"/>
        <v>57.986048423216047</v>
      </c>
      <c r="BI12" s="3" t="e">
        <f t="shared" si="23"/>
        <v>#N/A</v>
      </c>
      <c r="BJ12" s="3" t="e">
        <f t="shared" si="24"/>
        <v>#N/A</v>
      </c>
      <c r="BK12" s="3" t="e">
        <f t="shared" si="25"/>
        <v>#N/A</v>
      </c>
      <c r="BL12" s="3" t="e">
        <f t="shared" si="26"/>
        <v>#N/A</v>
      </c>
      <c r="BM12" s="3" t="e">
        <f t="shared" si="27"/>
        <v>#N/A</v>
      </c>
      <c r="BN12" s="3" t="e">
        <f t="shared" si="28"/>
        <v>#N/A</v>
      </c>
      <c r="BO12" s="3" t="e">
        <f t="shared" si="29"/>
        <v>#N/A</v>
      </c>
      <c r="BP12" s="3" t="e">
        <f t="shared" si="30"/>
        <v>#N/A</v>
      </c>
      <c r="BQ12" s="3" t="e">
        <f t="shared" si="31"/>
        <v>#N/A</v>
      </c>
      <c r="BR12" s="3" t="e">
        <f t="shared" si="32"/>
        <v>#N/A</v>
      </c>
      <c r="BS12" s="3" t="e">
        <f t="shared" si="33"/>
        <v>#N/A</v>
      </c>
      <c r="BT12" s="7" t="e">
        <f t="shared" si="34"/>
        <v>#N/A</v>
      </c>
    </row>
    <row r="13" spans="1:72" x14ac:dyDescent="0.2">
      <c r="A13" s="150" t="s">
        <v>21</v>
      </c>
      <c r="B13" s="192">
        <f>INT(Calcs!B34) + MOD(Calcs!B34,1)*60/100</f>
        <v>2.081225523111911</v>
      </c>
      <c r="C13" s="151" t="s">
        <v>141</v>
      </c>
      <c r="V13" s="24">
        <v>9</v>
      </c>
      <c r="W13" s="51"/>
      <c r="X13" s="52"/>
      <c r="Y13" s="51"/>
      <c r="Z13" s="52"/>
      <c r="AA13" s="207"/>
      <c r="AB13" s="207"/>
      <c r="AC13" s="99"/>
      <c r="AD13" s="53"/>
      <c r="AE13" s="18" t="e">
        <f t="shared" si="0"/>
        <v>#N/A</v>
      </c>
      <c r="AF13" s="96" t="e">
        <f t="shared" si="8"/>
        <v>#N/A</v>
      </c>
      <c r="AG13" s="18" t="e">
        <f t="shared" si="9"/>
        <v>#N/A</v>
      </c>
      <c r="AH13" s="18" t="e">
        <f>IF(OR($AE$4&lt;0,AE13&lt;0),NA(),  Calcs!$B$62*10^(-0.4*Calcs!$B$63*_xlfn.SEC(RADIANS(90-$AE$4)))  *  (1 - 10^(-0.4*Calcs!$B$63*_xlfn.SEC(RADIANS(90-AE13))))  *  (  10^5.36 * (1.06+ (COS(RADIANS(AG13))^2)) + 10^(6.15 - AG13/40) )  )</f>
        <v>#N/A</v>
      </c>
      <c r="AI13" s="220" t="e">
        <f t="shared" si="10"/>
        <v>#N/A</v>
      </c>
      <c r="AJ13" s="65"/>
      <c r="AK13" s="255"/>
      <c r="AL13" s="253" t="e">
        <f t="shared" si="35"/>
        <v>#N/A</v>
      </c>
      <c r="AM13" s="254" t="e">
        <f t="shared" si="36"/>
        <v>#N/A</v>
      </c>
      <c r="AN13" s="68" t="e">
        <f t="shared" si="1"/>
        <v>#N/A</v>
      </c>
      <c r="AO13" s="64" t="e">
        <f t="shared" si="2"/>
        <v>#N/A</v>
      </c>
      <c r="AP13" s="65" t="e">
        <f t="shared" si="3"/>
        <v>#N/A</v>
      </c>
      <c r="AQ13" s="64" t="e">
        <f t="shared" si="4"/>
        <v>#N/A</v>
      </c>
      <c r="AR13" s="64" t="e">
        <f t="shared" si="5"/>
        <v>#N/A</v>
      </c>
      <c r="AS13" s="35" t="e">
        <f t="shared" si="6"/>
        <v>#N/A</v>
      </c>
      <c r="AT13" s="35" t="e">
        <f t="shared" si="7"/>
        <v>#N/A</v>
      </c>
      <c r="AU13" t="e">
        <f t="shared" si="11"/>
        <v>#N/A</v>
      </c>
      <c r="AV13" s="65" t="e">
        <f t="shared" si="12"/>
        <v>#N/A</v>
      </c>
      <c r="AW13" s="212" t="e">
        <f t="shared" si="13"/>
        <v>#N/A</v>
      </c>
      <c r="AY13" s="29">
        <f t="shared" si="37"/>
        <v>3</v>
      </c>
      <c r="AZ13" s="3">
        <f t="shared" si="14"/>
        <v>-32.858876431809172</v>
      </c>
      <c r="BA13" s="3" t="e">
        <f t="shared" si="15"/>
        <v>#N/A</v>
      </c>
      <c r="BB13" s="3" t="e">
        <f t="shared" si="16"/>
        <v>#N/A</v>
      </c>
      <c r="BC13" s="3" t="e">
        <f t="shared" si="17"/>
        <v>#N/A</v>
      </c>
      <c r="BD13" s="3" t="e">
        <f t="shared" si="18"/>
        <v>#N/A</v>
      </c>
      <c r="BE13" s="3" t="e">
        <f t="shared" si="19"/>
        <v>#N/A</v>
      </c>
      <c r="BF13" s="3" t="e">
        <f t="shared" si="20"/>
        <v>#N/A</v>
      </c>
      <c r="BG13" s="3" t="e">
        <f t="shared" si="21"/>
        <v>#N/A</v>
      </c>
      <c r="BH13" s="3">
        <f t="shared" si="22"/>
        <v>51.88105999474093</v>
      </c>
      <c r="BI13" s="3" t="e">
        <f t="shared" si="23"/>
        <v>#N/A</v>
      </c>
      <c r="BJ13" s="3" t="e">
        <f t="shared" si="24"/>
        <v>#N/A</v>
      </c>
      <c r="BK13" s="3" t="e">
        <f t="shared" si="25"/>
        <v>#N/A</v>
      </c>
      <c r="BL13" s="3" t="e">
        <f t="shared" si="26"/>
        <v>#N/A</v>
      </c>
      <c r="BM13" s="3" t="e">
        <f t="shared" si="27"/>
        <v>#N/A</v>
      </c>
      <c r="BN13" s="3" t="e">
        <f t="shared" si="28"/>
        <v>#N/A</v>
      </c>
      <c r="BO13" s="3" t="e">
        <f t="shared" si="29"/>
        <v>#N/A</v>
      </c>
      <c r="BP13" s="3" t="e">
        <f t="shared" si="30"/>
        <v>#N/A</v>
      </c>
      <c r="BQ13" s="3" t="e">
        <f t="shared" si="31"/>
        <v>#N/A</v>
      </c>
      <c r="BR13" s="3" t="e">
        <f t="shared" si="32"/>
        <v>#N/A</v>
      </c>
      <c r="BS13" s="3" t="e">
        <f t="shared" si="33"/>
        <v>#N/A</v>
      </c>
      <c r="BT13" s="7" t="e">
        <f t="shared" si="34"/>
        <v>#N/A</v>
      </c>
    </row>
    <row r="14" spans="1:72" x14ac:dyDescent="0.2">
      <c r="A14" s="150" t="s">
        <v>20</v>
      </c>
      <c r="B14" s="192">
        <f>INT(Calcs!B35) + MOD(Calcs!B35,1)*60/100</f>
        <v>2.3664857217310047</v>
      </c>
      <c r="C14" s="151" t="s">
        <v>141</v>
      </c>
      <c r="V14" s="24">
        <v>10</v>
      </c>
      <c r="W14" s="51"/>
      <c r="X14" s="52"/>
      <c r="Y14" s="51"/>
      <c r="Z14" s="52"/>
      <c r="AA14" s="207"/>
      <c r="AB14" s="207"/>
      <c r="AC14" s="99"/>
      <c r="AD14" s="53"/>
      <c r="AE14" s="18" t="e">
        <f t="shared" si="0"/>
        <v>#N/A</v>
      </c>
      <c r="AF14" s="96" t="e">
        <f t="shared" si="8"/>
        <v>#N/A</v>
      </c>
      <c r="AG14" s="18" t="e">
        <f t="shared" si="9"/>
        <v>#N/A</v>
      </c>
      <c r="AH14" s="18" t="e">
        <f>IF(OR($AE$4&lt;0,AE14&lt;0),NA(),  Calcs!$B$62*10^(-0.4*Calcs!$B$63*_xlfn.SEC(RADIANS(90-$AE$4)))  *  (1 - 10^(-0.4*Calcs!$B$63*_xlfn.SEC(RADIANS(90-AE14))))  *  (  10^5.36 * (1.06+ (COS(RADIANS(AG14))^2)) + 10^(6.15 - AG14/40) )  )</f>
        <v>#N/A</v>
      </c>
      <c r="AI14" s="220" t="e">
        <f t="shared" si="10"/>
        <v>#N/A</v>
      </c>
      <c r="AJ14" s="65"/>
      <c r="AK14" s="255"/>
      <c r="AL14" s="253" t="e">
        <f t="shared" si="35"/>
        <v>#N/A</v>
      </c>
      <c r="AM14" s="254" t="e">
        <f t="shared" si="36"/>
        <v>#N/A</v>
      </c>
      <c r="AN14" s="68" t="e">
        <f t="shared" si="1"/>
        <v>#N/A</v>
      </c>
      <c r="AO14" s="64" t="e">
        <f t="shared" si="2"/>
        <v>#N/A</v>
      </c>
      <c r="AP14" s="65" t="e">
        <f t="shared" si="3"/>
        <v>#N/A</v>
      </c>
      <c r="AQ14" s="64" t="e">
        <f t="shared" si="4"/>
        <v>#N/A</v>
      </c>
      <c r="AR14" s="64" t="e">
        <f t="shared" si="5"/>
        <v>#N/A</v>
      </c>
      <c r="AS14" s="35" t="e">
        <f t="shared" si="6"/>
        <v>#N/A</v>
      </c>
      <c r="AT14" s="35" t="e">
        <f t="shared" si="7"/>
        <v>#N/A</v>
      </c>
      <c r="AU14" t="e">
        <f t="shared" si="11"/>
        <v>#N/A</v>
      </c>
      <c r="AV14" s="65" t="e">
        <f t="shared" si="12"/>
        <v>#N/A</v>
      </c>
      <c r="AW14" s="212" t="e">
        <f t="shared" si="13"/>
        <v>#N/A</v>
      </c>
      <c r="AY14" s="29">
        <f t="shared" si="37"/>
        <v>3.5</v>
      </c>
      <c r="AZ14" s="3">
        <f t="shared" si="14"/>
        <v>-39.132585589290542</v>
      </c>
      <c r="BA14" s="3" t="e">
        <f t="shared" si="15"/>
        <v>#N/A</v>
      </c>
      <c r="BB14" s="3" t="e">
        <f t="shared" si="16"/>
        <v>#N/A</v>
      </c>
      <c r="BC14" s="3" t="e">
        <f t="shared" si="17"/>
        <v>#N/A</v>
      </c>
      <c r="BD14" s="3" t="e">
        <f t="shared" si="18"/>
        <v>#N/A</v>
      </c>
      <c r="BE14" s="3" t="e">
        <f t="shared" si="19"/>
        <v>#N/A</v>
      </c>
      <c r="BF14" s="3" t="e">
        <f t="shared" si="20"/>
        <v>#N/A</v>
      </c>
      <c r="BG14" s="3" t="e">
        <f t="shared" si="21"/>
        <v>#N/A</v>
      </c>
      <c r="BH14" s="3">
        <f t="shared" si="22"/>
        <v>45.647340182983797</v>
      </c>
      <c r="BI14" s="3" t="e">
        <f t="shared" si="23"/>
        <v>#N/A</v>
      </c>
      <c r="BJ14" s="3" t="e">
        <f t="shared" si="24"/>
        <v>#N/A</v>
      </c>
      <c r="BK14" s="3" t="e">
        <f t="shared" si="25"/>
        <v>#N/A</v>
      </c>
      <c r="BL14" s="3" t="e">
        <f t="shared" si="26"/>
        <v>#N/A</v>
      </c>
      <c r="BM14" s="3" t="e">
        <f t="shared" si="27"/>
        <v>#N/A</v>
      </c>
      <c r="BN14" s="3" t="e">
        <f t="shared" si="28"/>
        <v>#N/A</v>
      </c>
      <c r="BO14" s="3" t="e">
        <f t="shared" si="29"/>
        <v>#N/A</v>
      </c>
      <c r="BP14" s="3" t="e">
        <f t="shared" si="30"/>
        <v>#N/A</v>
      </c>
      <c r="BQ14" s="3" t="e">
        <f t="shared" si="31"/>
        <v>#N/A</v>
      </c>
      <c r="BR14" s="3" t="e">
        <f t="shared" si="32"/>
        <v>#N/A</v>
      </c>
      <c r="BS14" s="3" t="e">
        <f t="shared" si="33"/>
        <v>#N/A</v>
      </c>
      <c r="BT14" s="7" t="e">
        <f t="shared" si="34"/>
        <v>#N/A</v>
      </c>
    </row>
    <row r="15" spans="1:72" x14ac:dyDescent="0.2">
      <c r="A15" s="152"/>
      <c r="B15" s="192"/>
      <c r="C15" s="151"/>
      <c r="V15" s="24">
        <v>11</v>
      </c>
      <c r="W15" s="51"/>
      <c r="X15" s="52"/>
      <c r="Y15" s="51"/>
      <c r="Z15" s="52"/>
      <c r="AA15" s="207"/>
      <c r="AB15" s="207"/>
      <c r="AC15" s="99"/>
      <c r="AD15" s="53"/>
      <c r="AE15" s="18" t="e">
        <f t="shared" si="0"/>
        <v>#N/A</v>
      </c>
      <c r="AF15" s="96" t="e">
        <f t="shared" si="8"/>
        <v>#N/A</v>
      </c>
      <c r="AG15" s="18" t="e">
        <f t="shared" si="9"/>
        <v>#N/A</v>
      </c>
      <c r="AH15" s="18" t="e">
        <f>IF(OR($AE$4&lt;0,AE15&lt;0),NA(),  Calcs!$B$62*10^(-0.4*Calcs!$B$63*_xlfn.SEC(RADIANS(90-$AE$4)))  *  (1 - 10^(-0.4*Calcs!$B$63*_xlfn.SEC(RADIANS(90-AE15))))  *  (  10^5.36 * (1.06+ (COS(RADIANS(AG15))^2)) + 10^(6.15 - AG15/40) )  )</f>
        <v>#N/A</v>
      </c>
      <c r="AI15" s="220" t="e">
        <f t="shared" si="10"/>
        <v>#N/A</v>
      </c>
      <c r="AJ15" s="65"/>
      <c r="AK15" s="255"/>
      <c r="AL15" s="253" t="e">
        <f t="shared" si="35"/>
        <v>#N/A</v>
      </c>
      <c r="AM15" s="254" t="e">
        <f t="shared" si="36"/>
        <v>#N/A</v>
      </c>
      <c r="AN15" s="68" t="e">
        <f t="shared" si="1"/>
        <v>#N/A</v>
      </c>
      <c r="AO15" s="64" t="e">
        <f t="shared" si="2"/>
        <v>#N/A</v>
      </c>
      <c r="AP15" s="65" t="e">
        <f t="shared" si="3"/>
        <v>#N/A</v>
      </c>
      <c r="AQ15" s="64" t="e">
        <f t="shared" si="4"/>
        <v>#N/A</v>
      </c>
      <c r="AR15" s="64" t="e">
        <f t="shared" si="5"/>
        <v>#N/A</v>
      </c>
      <c r="AS15" s="35" t="e">
        <f t="shared" si="6"/>
        <v>#N/A</v>
      </c>
      <c r="AT15" s="35" t="e">
        <f t="shared" si="7"/>
        <v>#N/A</v>
      </c>
      <c r="AU15" t="e">
        <f t="shared" si="11"/>
        <v>#N/A</v>
      </c>
      <c r="AV15" s="65" t="e">
        <f t="shared" si="12"/>
        <v>#N/A</v>
      </c>
      <c r="AW15" s="212" t="e">
        <f t="shared" si="13"/>
        <v>#N/A</v>
      </c>
      <c r="AY15" s="29">
        <f t="shared" si="37"/>
        <v>4</v>
      </c>
      <c r="AZ15" s="3">
        <f t="shared" si="14"/>
        <v>-45.326971744722989</v>
      </c>
      <c r="BA15" s="3" t="e">
        <f t="shared" si="15"/>
        <v>#N/A</v>
      </c>
      <c r="BB15" s="3" t="e">
        <f t="shared" si="16"/>
        <v>#N/A</v>
      </c>
      <c r="BC15" s="3" t="e">
        <f t="shared" si="17"/>
        <v>#N/A</v>
      </c>
      <c r="BD15" s="3" t="e">
        <f t="shared" si="18"/>
        <v>#N/A</v>
      </c>
      <c r="BE15" s="3" t="e">
        <f t="shared" si="19"/>
        <v>#N/A</v>
      </c>
      <c r="BF15" s="3" t="e">
        <f t="shared" si="20"/>
        <v>#N/A</v>
      </c>
      <c r="BG15" s="3" t="e">
        <f t="shared" si="21"/>
        <v>#N/A</v>
      </c>
      <c r="BH15" s="3">
        <f t="shared" si="22"/>
        <v>39.353566222841593</v>
      </c>
      <c r="BI15" s="3" t="e">
        <f t="shared" si="23"/>
        <v>#N/A</v>
      </c>
      <c r="BJ15" s="3" t="e">
        <f t="shared" si="24"/>
        <v>#N/A</v>
      </c>
      <c r="BK15" s="3" t="e">
        <f t="shared" si="25"/>
        <v>#N/A</v>
      </c>
      <c r="BL15" s="3" t="e">
        <f t="shared" si="26"/>
        <v>#N/A</v>
      </c>
      <c r="BM15" s="3" t="e">
        <f t="shared" si="27"/>
        <v>#N/A</v>
      </c>
      <c r="BN15" s="3" t="e">
        <f t="shared" si="28"/>
        <v>#N/A</v>
      </c>
      <c r="BO15" s="3" t="e">
        <f t="shared" si="29"/>
        <v>#N/A</v>
      </c>
      <c r="BP15" s="3" t="e">
        <f t="shared" si="30"/>
        <v>#N/A</v>
      </c>
      <c r="BQ15" s="3" t="e">
        <f t="shared" si="31"/>
        <v>#N/A</v>
      </c>
      <c r="BR15" s="3" t="e">
        <f t="shared" si="32"/>
        <v>#N/A</v>
      </c>
      <c r="BS15" s="3" t="e">
        <f t="shared" si="33"/>
        <v>#N/A</v>
      </c>
      <c r="BT15" s="7" t="e">
        <f t="shared" si="34"/>
        <v>#N/A</v>
      </c>
    </row>
    <row r="16" spans="1:72" x14ac:dyDescent="0.2">
      <c r="A16" s="150" t="s">
        <v>26</v>
      </c>
      <c r="B16" s="192">
        <f>INT(Calcs!B27) + MOD(Calcs!B27,1)*60/100</f>
        <v>7.3228898656409696</v>
      </c>
      <c r="C16" s="151" t="s">
        <v>141</v>
      </c>
      <c r="V16" s="24">
        <v>12</v>
      </c>
      <c r="W16" s="51"/>
      <c r="X16" s="52"/>
      <c r="Y16" s="51"/>
      <c r="Z16" s="52"/>
      <c r="AA16" s="207"/>
      <c r="AB16" s="207"/>
      <c r="AC16" s="99"/>
      <c r="AD16" s="53"/>
      <c r="AE16" s="18" t="e">
        <f t="shared" si="0"/>
        <v>#N/A</v>
      </c>
      <c r="AF16" s="96" t="e">
        <f t="shared" si="8"/>
        <v>#N/A</v>
      </c>
      <c r="AG16" s="18" t="e">
        <f t="shared" si="9"/>
        <v>#N/A</v>
      </c>
      <c r="AH16" s="18" t="e">
        <f>IF(OR($AE$4&lt;0,AE16&lt;0),NA(),  Calcs!$B$62*10^(-0.4*Calcs!$B$63*_xlfn.SEC(RADIANS(90-$AE$4)))  *  (1 - 10^(-0.4*Calcs!$B$63*_xlfn.SEC(RADIANS(90-AE16))))  *  (  10^5.36 * (1.06+ (COS(RADIANS(AG16))^2)) + 10^(6.15 - AG16/40) )  )</f>
        <v>#N/A</v>
      </c>
      <c r="AI16" s="220" t="e">
        <f t="shared" si="10"/>
        <v>#N/A</v>
      </c>
      <c r="AJ16" s="65"/>
      <c r="AK16" s="255"/>
      <c r="AL16" s="253" t="e">
        <f t="shared" si="35"/>
        <v>#N/A</v>
      </c>
      <c r="AM16" s="254" t="e">
        <f t="shared" si="36"/>
        <v>#N/A</v>
      </c>
      <c r="AN16" s="68" t="e">
        <f t="shared" si="1"/>
        <v>#N/A</v>
      </c>
      <c r="AO16" s="64" t="e">
        <f t="shared" si="2"/>
        <v>#N/A</v>
      </c>
      <c r="AP16" s="65" t="e">
        <f t="shared" si="3"/>
        <v>#N/A</v>
      </c>
      <c r="AQ16" s="64" t="e">
        <f t="shared" si="4"/>
        <v>#N/A</v>
      </c>
      <c r="AR16" s="64" t="e">
        <f t="shared" si="5"/>
        <v>#N/A</v>
      </c>
      <c r="AS16" s="35" t="e">
        <f t="shared" si="6"/>
        <v>#N/A</v>
      </c>
      <c r="AT16" s="35" t="e">
        <f t="shared" si="7"/>
        <v>#N/A</v>
      </c>
      <c r="AU16" t="e">
        <f t="shared" si="11"/>
        <v>#N/A</v>
      </c>
      <c r="AV16" s="65" t="e">
        <f t="shared" si="12"/>
        <v>#N/A</v>
      </c>
      <c r="AW16" s="212" t="e">
        <f t="shared" si="13"/>
        <v>#N/A</v>
      </c>
      <c r="AY16" s="29">
        <f t="shared" si="37"/>
        <v>4.5</v>
      </c>
      <c r="AZ16" s="3">
        <f t="shared" si="14"/>
        <v>-51.374523143676782</v>
      </c>
      <c r="BA16" s="3" t="e">
        <f t="shared" si="15"/>
        <v>#N/A</v>
      </c>
      <c r="BB16" s="3" t="e">
        <f t="shared" si="16"/>
        <v>#N/A</v>
      </c>
      <c r="BC16" s="3" t="e">
        <f t="shared" si="17"/>
        <v>#N/A</v>
      </c>
      <c r="BD16" s="3" t="e">
        <f t="shared" si="18"/>
        <v>#N/A</v>
      </c>
      <c r="BE16" s="3" t="e">
        <f t="shared" si="19"/>
        <v>#N/A</v>
      </c>
      <c r="BF16" s="3" t="e">
        <f t="shared" si="20"/>
        <v>#N/A</v>
      </c>
      <c r="BG16" s="3" t="e">
        <f t="shared" si="21"/>
        <v>#N/A</v>
      </c>
      <c r="BH16" s="3">
        <f t="shared" si="22"/>
        <v>33.04357003992741</v>
      </c>
      <c r="BI16" s="3" t="e">
        <f t="shared" si="23"/>
        <v>#N/A</v>
      </c>
      <c r="BJ16" s="3" t="e">
        <f t="shared" si="24"/>
        <v>#N/A</v>
      </c>
      <c r="BK16" s="3" t="e">
        <f t="shared" si="25"/>
        <v>#N/A</v>
      </c>
      <c r="BL16" s="3" t="e">
        <f t="shared" si="26"/>
        <v>#N/A</v>
      </c>
      <c r="BM16" s="3" t="e">
        <f t="shared" si="27"/>
        <v>#N/A</v>
      </c>
      <c r="BN16" s="3" t="e">
        <f t="shared" si="28"/>
        <v>#N/A</v>
      </c>
      <c r="BO16" s="3" t="e">
        <f t="shared" si="29"/>
        <v>#N/A</v>
      </c>
      <c r="BP16" s="3" t="e">
        <f t="shared" si="30"/>
        <v>#N/A</v>
      </c>
      <c r="BQ16" s="3" t="e">
        <f t="shared" si="31"/>
        <v>#N/A</v>
      </c>
      <c r="BR16" s="3" t="e">
        <f t="shared" si="32"/>
        <v>#N/A</v>
      </c>
      <c r="BS16" s="3" t="e">
        <f t="shared" si="33"/>
        <v>#N/A</v>
      </c>
      <c r="BT16" s="7" t="e">
        <f t="shared" si="34"/>
        <v>#N/A</v>
      </c>
    </row>
    <row r="17" spans="1:72" x14ac:dyDescent="0.2">
      <c r="A17" s="152"/>
      <c r="B17" s="191"/>
      <c r="C17" s="151"/>
      <c r="V17" s="24">
        <v>13</v>
      </c>
      <c r="W17" s="51"/>
      <c r="X17" s="52"/>
      <c r="Y17" s="51"/>
      <c r="Z17" s="52"/>
      <c r="AA17" s="207"/>
      <c r="AB17" s="207"/>
      <c r="AC17" s="99"/>
      <c r="AD17" s="53"/>
      <c r="AE17" s="18" t="e">
        <f t="shared" si="0"/>
        <v>#N/A</v>
      </c>
      <c r="AF17" s="96" t="e">
        <f t="shared" si="8"/>
        <v>#N/A</v>
      </c>
      <c r="AG17" s="18" t="e">
        <f t="shared" si="9"/>
        <v>#N/A</v>
      </c>
      <c r="AH17" s="18" t="e">
        <f>IF(OR($AE$4&lt;0,AE17&lt;0),NA(),  Calcs!$B$62*10^(-0.4*Calcs!$B$63*_xlfn.SEC(RADIANS(90-$AE$4)))  *  (1 - 10^(-0.4*Calcs!$B$63*_xlfn.SEC(RADIANS(90-AE17))))  *  (  10^5.36 * (1.06+ (COS(RADIANS(AG17))^2)) + 10^(6.15 - AG17/40) )  )</f>
        <v>#N/A</v>
      </c>
      <c r="AI17" s="220" t="e">
        <f t="shared" si="10"/>
        <v>#N/A</v>
      </c>
      <c r="AJ17" s="65"/>
      <c r="AK17" s="255"/>
      <c r="AL17" s="253" t="e">
        <f t="shared" si="35"/>
        <v>#N/A</v>
      </c>
      <c r="AM17" s="254" t="e">
        <f t="shared" si="36"/>
        <v>#N/A</v>
      </c>
      <c r="AN17" s="68" t="e">
        <f t="shared" si="1"/>
        <v>#N/A</v>
      </c>
      <c r="AO17" s="64" t="e">
        <f t="shared" si="2"/>
        <v>#N/A</v>
      </c>
      <c r="AP17" s="65" t="e">
        <f t="shared" si="3"/>
        <v>#N/A</v>
      </c>
      <c r="AQ17" s="64" t="e">
        <f t="shared" si="4"/>
        <v>#N/A</v>
      </c>
      <c r="AR17" s="64" t="e">
        <f t="shared" si="5"/>
        <v>#N/A</v>
      </c>
      <c r="AS17" s="35" t="e">
        <f t="shared" si="6"/>
        <v>#N/A</v>
      </c>
      <c r="AT17" s="35" t="e">
        <f t="shared" si="7"/>
        <v>#N/A</v>
      </c>
      <c r="AU17" t="e">
        <f t="shared" si="11"/>
        <v>#N/A</v>
      </c>
      <c r="AV17" s="65" t="e">
        <f t="shared" si="12"/>
        <v>#N/A</v>
      </c>
      <c r="AW17" s="212" t="e">
        <f t="shared" si="13"/>
        <v>#N/A</v>
      </c>
      <c r="AY17" s="29">
        <f t="shared" si="37"/>
        <v>5</v>
      </c>
      <c r="AZ17" s="3">
        <f t="shared" si="14"/>
        <v>-57.167038369940038</v>
      </c>
      <c r="BA17" s="3" t="e">
        <f t="shared" si="15"/>
        <v>#N/A</v>
      </c>
      <c r="BB17" s="3" t="e">
        <f t="shared" si="16"/>
        <v>#N/A</v>
      </c>
      <c r="BC17" s="3" t="e">
        <f t="shared" si="17"/>
        <v>#N/A</v>
      </c>
      <c r="BD17" s="3" t="e">
        <f t="shared" si="18"/>
        <v>#N/A</v>
      </c>
      <c r="BE17" s="3" t="e">
        <f t="shared" si="19"/>
        <v>#N/A</v>
      </c>
      <c r="BF17" s="3" t="e">
        <f t="shared" si="20"/>
        <v>#N/A</v>
      </c>
      <c r="BG17" s="3" t="e">
        <f t="shared" si="21"/>
        <v>#N/A</v>
      </c>
      <c r="BH17" s="3">
        <f t="shared" si="22"/>
        <v>26.749336877499871</v>
      </c>
      <c r="BI17" s="3" t="e">
        <f t="shared" si="23"/>
        <v>#N/A</v>
      </c>
      <c r="BJ17" s="3" t="e">
        <f t="shared" si="24"/>
        <v>#N/A</v>
      </c>
      <c r="BK17" s="3" t="e">
        <f t="shared" si="25"/>
        <v>#N/A</v>
      </c>
      <c r="BL17" s="3" t="e">
        <f t="shared" si="26"/>
        <v>#N/A</v>
      </c>
      <c r="BM17" s="3" t="e">
        <f t="shared" si="27"/>
        <v>#N/A</v>
      </c>
      <c r="BN17" s="3" t="e">
        <f t="shared" si="28"/>
        <v>#N/A</v>
      </c>
      <c r="BO17" s="3" t="e">
        <f t="shared" si="29"/>
        <v>#N/A</v>
      </c>
      <c r="BP17" s="3" t="e">
        <f t="shared" si="30"/>
        <v>#N/A</v>
      </c>
      <c r="BQ17" s="3" t="e">
        <f t="shared" si="31"/>
        <v>#N/A</v>
      </c>
      <c r="BR17" s="3" t="e">
        <f t="shared" si="32"/>
        <v>#N/A</v>
      </c>
      <c r="BS17" s="3" t="e">
        <f t="shared" si="33"/>
        <v>#N/A</v>
      </c>
      <c r="BT17" s="7" t="e">
        <f t="shared" si="34"/>
        <v>#N/A</v>
      </c>
    </row>
    <row r="18" spans="1:72" x14ac:dyDescent="0.2">
      <c r="A18" s="150" t="s">
        <v>20</v>
      </c>
      <c r="B18" s="192">
        <f>INT(Calcs!B37) + MOD(Calcs!B37,1)*60/100</f>
        <v>12.279294009550934</v>
      </c>
      <c r="C18" s="151" t="s">
        <v>141</v>
      </c>
      <c r="V18" s="24">
        <v>14</v>
      </c>
      <c r="W18" s="51"/>
      <c r="X18" s="52"/>
      <c r="Y18" s="51"/>
      <c r="Z18" s="52"/>
      <c r="AA18" s="207"/>
      <c r="AB18" s="207"/>
      <c r="AC18" s="99"/>
      <c r="AD18" s="53"/>
      <c r="AE18" s="18" t="e">
        <f t="shared" si="0"/>
        <v>#N/A</v>
      </c>
      <c r="AF18" s="96" t="e">
        <f t="shared" si="8"/>
        <v>#N/A</v>
      </c>
      <c r="AG18" s="18" t="e">
        <f t="shared" si="9"/>
        <v>#N/A</v>
      </c>
      <c r="AH18" s="18" t="e">
        <f>IF(OR($AE$4&lt;0,AE18&lt;0),NA(),  Calcs!$B$62*10^(-0.4*Calcs!$B$63*_xlfn.SEC(RADIANS(90-$AE$4)))  *  (1 - 10^(-0.4*Calcs!$B$63*_xlfn.SEC(RADIANS(90-AE18))))  *  (  10^5.36 * (1.06+ (COS(RADIANS(AG18))^2)) + 10^(6.15 - AG18/40) )  )</f>
        <v>#N/A</v>
      </c>
      <c r="AI18" s="220" t="e">
        <f t="shared" si="10"/>
        <v>#N/A</v>
      </c>
      <c r="AJ18" s="65"/>
      <c r="AK18" s="255"/>
      <c r="AL18" s="253" t="e">
        <f t="shared" si="35"/>
        <v>#N/A</v>
      </c>
      <c r="AM18" s="254" t="e">
        <f t="shared" si="36"/>
        <v>#N/A</v>
      </c>
      <c r="AN18" s="68" t="e">
        <f t="shared" si="1"/>
        <v>#N/A</v>
      </c>
      <c r="AO18" s="64" t="e">
        <f t="shared" si="2"/>
        <v>#N/A</v>
      </c>
      <c r="AP18" s="65" t="e">
        <f t="shared" si="3"/>
        <v>#N/A</v>
      </c>
      <c r="AQ18" s="64" t="e">
        <f t="shared" si="4"/>
        <v>#N/A</v>
      </c>
      <c r="AR18" s="64" t="e">
        <f t="shared" si="5"/>
        <v>#N/A</v>
      </c>
      <c r="AS18" s="35" t="e">
        <f t="shared" si="6"/>
        <v>#N/A</v>
      </c>
      <c r="AT18" s="35" t="e">
        <f t="shared" si="7"/>
        <v>#N/A</v>
      </c>
      <c r="AU18" t="e">
        <f t="shared" si="11"/>
        <v>#N/A</v>
      </c>
      <c r="AV18" s="65" t="e">
        <f t="shared" si="12"/>
        <v>#N/A</v>
      </c>
      <c r="AW18" s="212" t="e">
        <f t="shared" si="13"/>
        <v>#N/A</v>
      </c>
      <c r="AY18" s="29">
        <f t="shared" si="37"/>
        <v>5.5</v>
      </c>
      <c r="AZ18" s="3">
        <f t="shared" si="14"/>
        <v>-62.518059504067331</v>
      </c>
      <c r="BA18" s="3" t="e">
        <f t="shared" si="15"/>
        <v>#N/A</v>
      </c>
      <c r="BB18" s="3" t="e">
        <f t="shared" si="16"/>
        <v>#N/A</v>
      </c>
      <c r="BC18" s="3" t="e">
        <f t="shared" si="17"/>
        <v>#N/A</v>
      </c>
      <c r="BD18" s="3" t="e">
        <f t="shared" si="18"/>
        <v>#N/A</v>
      </c>
      <c r="BE18" s="3" t="e">
        <f t="shared" si="19"/>
        <v>#N/A</v>
      </c>
      <c r="BF18" s="3" t="e">
        <f t="shared" si="20"/>
        <v>#N/A</v>
      </c>
      <c r="BG18" s="3" t="e">
        <f t="shared" si="21"/>
        <v>#N/A</v>
      </c>
      <c r="BH18" s="3">
        <f t="shared" si="22"/>
        <v>20.497540581866801</v>
      </c>
      <c r="BI18" s="3" t="e">
        <f t="shared" si="23"/>
        <v>#N/A</v>
      </c>
      <c r="BJ18" s="3" t="e">
        <f t="shared" si="24"/>
        <v>#N/A</v>
      </c>
      <c r="BK18" s="3" t="e">
        <f t="shared" si="25"/>
        <v>#N/A</v>
      </c>
      <c r="BL18" s="3" t="e">
        <f t="shared" si="26"/>
        <v>#N/A</v>
      </c>
      <c r="BM18" s="3" t="e">
        <f t="shared" si="27"/>
        <v>#N/A</v>
      </c>
      <c r="BN18" s="3" t="e">
        <f t="shared" si="28"/>
        <v>#N/A</v>
      </c>
      <c r="BO18" s="3" t="e">
        <f t="shared" si="29"/>
        <v>#N/A</v>
      </c>
      <c r="BP18" s="3" t="e">
        <f t="shared" si="30"/>
        <v>#N/A</v>
      </c>
      <c r="BQ18" s="3" t="e">
        <f t="shared" si="31"/>
        <v>#N/A</v>
      </c>
      <c r="BR18" s="3" t="e">
        <f t="shared" si="32"/>
        <v>#N/A</v>
      </c>
      <c r="BS18" s="3" t="e">
        <f t="shared" si="33"/>
        <v>#N/A</v>
      </c>
      <c r="BT18" s="7" t="e">
        <f t="shared" si="34"/>
        <v>#N/A</v>
      </c>
    </row>
    <row r="19" spans="1:72" x14ac:dyDescent="0.2">
      <c r="A19" s="150" t="s">
        <v>21</v>
      </c>
      <c r="B19" s="192">
        <f>INT(Calcs!B38) + MOD(Calcs!B38,1)*60/100</f>
        <v>12.564554208170028</v>
      </c>
      <c r="C19" s="151" t="s">
        <v>141</v>
      </c>
      <c r="V19" s="24">
        <v>15</v>
      </c>
      <c r="W19" s="51"/>
      <c r="X19" s="52"/>
      <c r="Y19" s="51"/>
      <c r="Z19" s="52"/>
      <c r="AA19" s="207"/>
      <c r="AB19" s="207"/>
      <c r="AC19" s="99"/>
      <c r="AD19" s="53"/>
      <c r="AE19" s="18" t="e">
        <f t="shared" si="0"/>
        <v>#N/A</v>
      </c>
      <c r="AF19" s="96" t="e">
        <f t="shared" si="8"/>
        <v>#N/A</v>
      </c>
      <c r="AG19" s="18" t="e">
        <f t="shared" si="9"/>
        <v>#N/A</v>
      </c>
      <c r="AH19" s="18" t="e">
        <f>IF(OR($AE$4&lt;0,AE19&lt;0),NA(),  Calcs!$B$62*10^(-0.4*Calcs!$B$63*_xlfn.SEC(RADIANS(90-$AE$4)))  *  (1 - 10^(-0.4*Calcs!$B$63*_xlfn.SEC(RADIANS(90-AE19))))  *  (  10^5.36 * (1.06+ (COS(RADIANS(AG19))^2)) + 10^(6.15 - AG19/40) )  )</f>
        <v>#N/A</v>
      </c>
      <c r="AI19" s="220" t="e">
        <f t="shared" si="10"/>
        <v>#N/A</v>
      </c>
      <c r="AJ19" s="65"/>
      <c r="AK19" s="255"/>
      <c r="AL19" s="253" t="e">
        <f t="shared" si="35"/>
        <v>#N/A</v>
      </c>
      <c r="AM19" s="254" t="e">
        <f t="shared" si="36"/>
        <v>#N/A</v>
      </c>
      <c r="AN19" s="68" t="e">
        <f t="shared" si="1"/>
        <v>#N/A</v>
      </c>
      <c r="AO19" s="64" t="e">
        <f t="shared" si="2"/>
        <v>#N/A</v>
      </c>
      <c r="AP19" s="65" t="e">
        <f t="shared" si="3"/>
        <v>#N/A</v>
      </c>
      <c r="AQ19" s="64" t="e">
        <f t="shared" si="4"/>
        <v>#N/A</v>
      </c>
      <c r="AR19" s="64" t="e">
        <f t="shared" si="5"/>
        <v>#N/A</v>
      </c>
      <c r="AS19" s="35" t="e">
        <f t="shared" si="6"/>
        <v>#N/A</v>
      </c>
      <c r="AT19" s="35" t="e">
        <f t="shared" si="7"/>
        <v>#N/A</v>
      </c>
      <c r="AU19" t="e">
        <f t="shared" si="11"/>
        <v>#N/A</v>
      </c>
      <c r="AV19" s="65" t="e">
        <f t="shared" si="12"/>
        <v>#N/A</v>
      </c>
      <c r="AW19" s="212" t="e">
        <f t="shared" si="13"/>
        <v>#N/A</v>
      </c>
      <c r="AY19" s="29">
        <f t="shared" si="37"/>
        <v>6</v>
      </c>
      <c r="AZ19" s="3">
        <f t="shared" si="14"/>
        <v>-67.094051739215317</v>
      </c>
      <c r="BA19" s="3" t="e">
        <f t="shared" si="15"/>
        <v>#N/A</v>
      </c>
      <c r="BB19" s="3" t="e">
        <f t="shared" si="16"/>
        <v>#N/A</v>
      </c>
      <c r="BC19" s="3" t="e">
        <f t="shared" si="17"/>
        <v>#N/A</v>
      </c>
      <c r="BD19" s="3" t="e">
        <f t="shared" si="18"/>
        <v>#N/A</v>
      </c>
      <c r="BE19" s="3" t="e">
        <f t="shared" si="19"/>
        <v>#N/A</v>
      </c>
      <c r="BF19" s="3" t="e">
        <f t="shared" si="20"/>
        <v>#N/A</v>
      </c>
      <c r="BG19" s="3" t="e">
        <f t="shared" si="21"/>
        <v>#N/A</v>
      </c>
      <c r="BH19" s="3">
        <f t="shared" si="22"/>
        <v>14.313274817066016</v>
      </c>
      <c r="BI19" s="3" t="e">
        <f t="shared" si="23"/>
        <v>#N/A</v>
      </c>
      <c r="BJ19" s="3" t="e">
        <f t="shared" si="24"/>
        <v>#N/A</v>
      </c>
      <c r="BK19" s="3" t="e">
        <f t="shared" si="25"/>
        <v>#N/A</v>
      </c>
      <c r="BL19" s="3" t="e">
        <f t="shared" si="26"/>
        <v>#N/A</v>
      </c>
      <c r="BM19" s="3" t="e">
        <f t="shared" si="27"/>
        <v>#N/A</v>
      </c>
      <c r="BN19" s="3" t="e">
        <f t="shared" si="28"/>
        <v>#N/A</v>
      </c>
      <c r="BO19" s="3" t="e">
        <f t="shared" si="29"/>
        <v>#N/A</v>
      </c>
      <c r="BP19" s="3" t="e">
        <f t="shared" si="30"/>
        <v>#N/A</v>
      </c>
      <c r="BQ19" s="3" t="e">
        <f t="shared" si="31"/>
        <v>#N/A</v>
      </c>
      <c r="BR19" s="3" t="e">
        <f t="shared" si="32"/>
        <v>#N/A</v>
      </c>
      <c r="BS19" s="3" t="e">
        <f t="shared" si="33"/>
        <v>#N/A</v>
      </c>
      <c r="BT19" s="7" t="e">
        <f t="shared" si="34"/>
        <v>#N/A</v>
      </c>
    </row>
    <row r="20" spans="1:72" x14ac:dyDescent="0.2">
      <c r="A20" s="150" t="s">
        <v>19</v>
      </c>
      <c r="B20" s="192">
        <f>INT(Calcs!B39) + MOD(Calcs!B39,1)*60/100</f>
        <v>13.497144726262949</v>
      </c>
      <c r="C20" s="151" t="s">
        <v>141</v>
      </c>
      <c r="K20" s="1"/>
      <c r="V20" s="24">
        <v>16</v>
      </c>
      <c r="W20" s="51"/>
      <c r="X20" s="52"/>
      <c r="Y20" s="51"/>
      <c r="Z20" s="52"/>
      <c r="AA20" s="207"/>
      <c r="AB20" s="207"/>
      <c r="AC20" s="99"/>
      <c r="AD20" s="53"/>
      <c r="AE20" s="18" t="e">
        <f t="shared" si="0"/>
        <v>#N/A</v>
      </c>
      <c r="AF20" s="96" t="e">
        <f t="shared" si="8"/>
        <v>#N/A</v>
      </c>
      <c r="AG20" s="18" t="e">
        <f t="shared" si="9"/>
        <v>#N/A</v>
      </c>
      <c r="AH20" s="18" t="e">
        <f>IF(OR($AE$4&lt;0,AE20&lt;0),NA(),  Calcs!$B$62*10^(-0.4*Calcs!$B$63*_xlfn.SEC(RADIANS(90-$AE$4)))  *  (1 - 10^(-0.4*Calcs!$B$63*_xlfn.SEC(RADIANS(90-AE20))))  *  (  10^5.36 * (1.06+ (COS(RADIANS(AG20))^2)) + 10^(6.15 - AG20/40) )  )</f>
        <v>#N/A</v>
      </c>
      <c r="AI20" s="220" t="e">
        <f t="shared" si="10"/>
        <v>#N/A</v>
      </c>
      <c r="AJ20" s="65"/>
      <c r="AK20" s="255"/>
      <c r="AL20" s="253" t="e">
        <f t="shared" si="35"/>
        <v>#N/A</v>
      </c>
      <c r="AM20" s="254" t="e">
        <f t="shared" si="36"/>
        <v>#N/A</v>
      </c>
      <c r="AN20" s="68" t="e">
        <f t="shared" si="1"/>
        <v>#N/A</v>
      </c>
      <c r="AO20" s="64" t="e">
        <f t="shared" si="2"/>
        <v>#N/A</v>
      </c>
      <c r="AP20" s="65" t="e">
        <f t="shared" si="3"/>
        <v>#N/A</v>
      </c>
      <c r="AQ20" s="64" t="e">
        <f t="shared" si="4"/>
        <v>#N/A</v>
      </c>
      <c r="AR20" s="64" t="e">
        <f t="shared" si="5"/>
        <v>#N/A</v>
      </c>
      <c r="AS20" s="35" t="e">
        <f t="shared" si="6"/>
        <v>#N/A</v>
      </c>
      <c r="AT20" s="35" t="e">
        <f t="shared" si="7"/>
        <v>#N/A</v>
      </c>
      <c r="AU20" t="e">
        <f t="shared" si="11"/>
        <v>#N/A</v>
      </c>
      <c r="AV20" s="65" t="e">
        <f t="shared" si="12"/>
        <v>#N/A</v>
      </c>
      <c r="AW20" s="212" t="e">
        <f t="shared" si="13"/>
        <v>#N/A</v>
      </c>
      <c r="AY20" s="29">
        <f t="shared" si="37"/>
        <v>6.5</v>
      </c>
      <c r="AZ20" s="3">
        <f t="shared" si="14"/>
        <v>-70.328700754037143</v>
      </c>
      <c r="BA20" s="3" t="e">
        <f t="shared" si="15"/>
        <v>#N/A</v>
      </c>
      <c r="BB20" s="3" t="e">
        <f t="shared" si="16"/>
        <v>#N/A</v>
      </c>
      <c r="BC20" s="3" t="e">
        <f t="shared" si="17"/>
        <v>#N/A</v>
      </c>
      <c r="BD20" s="3" t="e">
        <f t="shared" si="18"/>
        <v>#N/A</v>
      </c>
      <c r="BE20" s="3" t="e">
        <f t="shared" si="19"/>
        <v>#N/A</v>
      </c>
      <c r="BF20" s="3" t="e">
        <f t="shared" si="20"/>
        <v>#N/A</v>
      </c>
      <c r="BG20" s="3" t="e">
        <f t="shared" si="21"/>
        <v>#N/A</v>
      </c>
      <c r="BH20" s="3">
        <f t="shared" si="22"/>
        <v>8.2225532867688393</v>
      </c>
      <c r="BI20" s="3" t="e">
        <f t="shared" si="23"/>
        <v>#N/A</v>
      </c>
      <c r="BJ20" s="3" t="e">
        <f t="shared" si="24"/>
        <v>#N/A</v>
      </c>
      <c r="BK20" s="3" t="e">
        <f t="shared" si="25"/>
        <v>#N/A</v>
      </c>
      <c r="BL20" s="3" t="e">
        <f t="shared" si="26"/>
        <v>#N/A</v>
      </c>
      <c r="BM20" s="3" t="e">
        <f t="shared" si="27"/>
        <v>#N/A</v>
      </c>
      <c r="BN20" s="3" t="e">
        <f t="shared" si="28"/>
        <v>#N/A</v>
      </c>
      <c r="BO20" s="3" t="e">
        <f t="shared" si="29"/>
        <v>#N/A</v>
      </c>
      <c r="BP20" s="3" t="e">
        <f t="shared" si="30"/>
        <v>#N/A</v>
      </c>
      <c r="BQ20" s="3" t="e">
        <f t="shared" si="31"/>
        <v>#N/A</v>
      </c>
      <c r="BR20" s="3" t="e">
        <f t="shared" si="32"/>
        <v>#N/A</v>
      </c>
      <c r="BS20" s="3" t="e">
        <f t="shared" si="33"/>
        <v>#N/A</v>
      </c>
      <c r="BT20" s="7" t="e">
        <f t="shared" si="34"/>
        <v>#N/A</v>
      </c>
    </row>
    <row r="21" spans="1:72" x14ac:dyDescent="0.2">
      <c r="A21" s="150"/>
      <c r="B21" s="191"/>
      <c r="C21" s="151"/>
      <c r="K21" s="1"/>
      <c r="V21" s="24">
        <v>17</v>
      </c>
      <c r="W21" s="51"/>
      <c r="X21" s="52"/>
      <c r="Y21" s="51"/>
      <c r="Z21" s="52"/>
      <c r="AA21" s="207"/>
      <c r="AB21" s="207"/>
      <c r="AC21" s="99"/>
      <c r="AD21" s="53"/>
      <c r="AE21" s="18" t="e">
        <f t="shared" si="0"/>
        <v>#N/A</v>
      </c>
      <c r="AF21" s="96" t="e">
        <f t="shared" si="8"/>
        <v>#N/A</v>
      </c>
      <c r="AG21" s="18" t="e">
        <f t="shared" si="9"/>
        <v>#N/A</v>
      </c>
      <c r="AH21" s="18" t="e">
        <f>IF(OR($AE$4&lt;0,AE21&lt;0),NA(),  Calcs!$B$62*10^(-0.4*Calcs!$B$63*_xlfn.SEC(RADIANS(90-$AE$4)))  *  (1 - 10^(-0.4*Calcs!$B$63*_xlfn.SEC(RADIANS(90-AE21))))  *  (  10^5.36 * (1.06+ (COS(RADIANS(AG21))^2)) + 10^(6.15 - AG21/40) )  )</f>
        <v>#N/A</v>
      </c>
      <c r="AI21" s="220" t="e">
        <f t="shared" si="10"/>
        <v>#N/A</v>
      </c>
      <c r="AJ21" s="65"/>
      <c r="AK21" s="255"/>
      <c r="AL21" s="253" t="e">
        <f t="shared" si="35"/>
        <v>#N/A</v>
      </c>
      <c r="AM21" s="254" t="e">
        <f t="shared" si="36"/>
        <v>#N/A</v>
      </c>
      <c r="AN21" s="68" t="e">
        <f t="shared" si="1"/>
        <v>#N/A</v>
      </c>
      <c r="AO21" s="64" t="e">
        <f t="shared" si="2"/>
        <v>#N/A</v>
      </c>
      <c r="AP21" s="65" t="e">
        <f t="shared" si="3"/>
        <v>#N/A</v>
      </c>
      <c r="AQ21" s="64" t="e">
        <f t="shared" si="4"/>
        <v>#N/A</v>
      </c>
      <c r="AR21" s="64" t="e">
        <f t="shared" si="5"/>
        <v>#N/A</v>
      </c>
      <c r="AS21" s="35" t="e">
        <f t="shared" si="6"/>
        <v>#N/A</v>
      </c>
      <c r="AT21" s="35" t="e">
        <f t="shared" si="7"/>
        <v>#N/A</v>
      </c>
      <c r="AU21" t="e">
        <f t="shared" si="11"/>
        <v>#N/A</v>
      </c>
      <c r="AV21" s="65" t="e">
        <f t="shared" si="12"/>
        <v>#N/A</v>
      </c>
      <c r="AW21" s="212" t="e">
        <f t="shared" si="13"/>
        <v>#N/A</v>
      </c>
      <c r="AY21" s="29">
        <f t="shared" si="37"/>
        <v>7</v>
      </c>
      <c r="AZ21" s="3">
        <f t="shared" si="14"/>
        <v>-71.493655838546616</v>
      </c>
      <c r="BA21" s="3" t="e">
        <f t="shared" si="15"/>
        <v>#N/A</v>
      </c>
      <c r="BB21" s="3" t="e">
        <f t="shared" si="16"/>
        <v>#N/A</v>
      </c>
      <c r="BC21" s="3" t="e">
        <f t="shared" si="17"/>
        <v>#N/A</v>
      </c>
      <c r="BD21" s="3" t="e">
        <f t="shared" si="18"/>
        <v>#N/A</v>
      </c>
      <c r="BE21" s="3" t="e">
        <f t="shared" si="19"/>
        <v>#N/A</v>
      </c>
      <c r="BF21" s="3" t="e">
        <f t="shared" si="20"/>
        <v>#N/A</v>
      </c>
      <c r="BG21" s="3" t="e">
        <f t="shared" si="21"/>
        <v>#N/A</v>
      </c>
      <c r="BH21" s="3">
        <f t="shared" si="22"/>
        <v>2.2543215538919164</v>
      </c>
      <c r="BI21" s="3" t="e">
        <f t="shared" si="23"/>
        <v>#N/A</v>
      </c>
      <c r="BJ21" s="3" t="e">
        <f t="shared" si="24"/>
        <v>#N/A</v>
      </c>
      <c r="BK21" s="3" t="e">
        <f t="shared" si="25"/>
        <v>#N/A</v>
      </c>
      <c r="BL21" s="3" t="e">
        <f t="shared" si="26"/>
        <v>#N/A</v>
      </c>
      <c r="BM21" s="3" t="e">
        <f t="shared" si="27"/>
        <v>#N/A</v>
      </c>
      <c r="BN21" s="3" t="e">
        <f t="shared" si="28"/>
        <v>#N/A</v>
      </c>
      <c r="BO21" s="3" t="e">
        <f t="shared" si="29"/>
        <v>#N/A</v>
      </c>
      <c r="BP21" s="3" t="e">
        <f t="shared" si="30"/>
        <v>#N/A</v>
      </c>
      <c r="BQ21" s="3" t="e">
        <f t="shared" si="31"/>
        <v>#N/A</v>
      </c>
      <c r="BR21" s="3" t="e">
        <f t="shared" si="32"/>
        <v>#N/A</v>
      </c>
      <c r="BS21" s="3" t="e">
        <f t="shared" si="33"/>
        <v>#N/A</v>
      </c>
      <c r="BT21" s="7" t="e">
        <f t="shared" si="34"/>
        <v>#N/A</v>
      </c>
    </row>
    <row r="22" spans="1:72" x14ac:dyDescent="0.2">
      <c r="A22" s="150" t="s">
        <v>83</v>
      </c>
      <c r="B22" s="190">
        <f>Calcs!B58</f>
        <v>9.9900605666627076</v>
      </c>
      <c r="C22" s="151" t="s">
        <v>4</v>
      </c>
      <c r="K22" s="1"/>
      <c r="V22" s="24">
        <v>18</v>
      </c>
      <c r="W22" s="51"/>
      <c r="X22" s="52"/>
      <c r="Y22" s="51"/>
      <c r="Z22" s="52"/>
      <c r="AA22" s="207"/>
      <c r="AB22" s="207"/>
      <c r="AC22" s="99"/>
      <c r="AD22" s="53"/>
      <c r="AE22" s="18" t="e">
        <f t="shared" si="0"/>
        <v>#N/A</v>
      </c>
      <c r="AF22" s="96" t="e">
        <f t="shared" si="8"/>
        <v>#N/A</v>
      </c>
      <c r="AG22" s="18" t="e">
        <f t="shared" si="9"/>
        <v>#N/A</v>
      </c>
      <c r="AH22" s="18" t="e">
        <f>IF(OR($AE$4&lt;0,AE22&lt;0),NA(),  Calcs!$B$62*10^(-0.4*Calcs!$B$63*_xlfn.SEC(RADIANS(90-$AE$4)))  *  (1 - 10^(-0.4*Calcs!$B$63*_xlfn.SEC(RADIANS(90-AE22))))  *  (  10^5.36 * (1.06+ (COS(RADIANS(AG22))^2)) + 10^(6.15 - AG22/40) )  )</f>
        <v>#N/A</v>
      </c>
      <c r="AI22" s="220" t="e">
        <f t="shared" si="10"/>
        <v>#N/A</v>
      </c>
      <c r="AJ22" s="65"/>
      <c r="AK22" s="255"/>
      <c r="AL22" s="253" t="e">
        <f t="shared" si="35"/>
        <v>#N/A</v>
      </c>
      <c r="AM22" s="254" t="e">
        <f t="shared" si="36"/>
        <v>#N/A</v>
      </c>
      <c r="AN22" s="68" t="e">
        <f t="shared" si="1"/>
        <v>#N/A</v>
      </c>
      <c r="AO22" s="64" t="e">
        <f t="shared" si="2"/>
        <v>#N/A</v>
      </c>
      <c r="AP22" s="65" t="e">
        <f t="shared" si="3"/>
        <v>#N/A</v>
      </c>
      <c r="AQ22" s="64" t="e">
        <f t="shared" si="4"/>
        <v>#N/A</v>
      </c>
      <c r="AR22" s="64" t="e">
        <f t="shared" si="5"/>
        <v>#N/A</v>
      </c>
      <c r="AS22" s="35" t="e">
        <f t="shared" si="6"/>
        <v>#N/A</v>
      </c>
      <c r="AT22" s="35" t="e">
        <f t="shared" si="7"/>
        <v>#N/A</v>
      </c>
      <c r="AU22" t="e">
        <f t="shared" si="11"/>
        <v>#N/A</v>
      </c>
      <c r="AV22" s="65" t="e">
        <f t="shared" si="12"/>
        <v>#N/A</v>
      </c>
      <c r="AW22" s="212" t="e">
        <f t="shared" si="13"/>
        <v>#N/A</v>
      </c>
      <c r="AY22" s="29">
        <f t="shared" si="37"/>
        <v>7.5</v>
      </c>
      <c r="AZ22" s="3">
        <f t="shared" si="14"/>
        <v>-70.216608924255567</v>
      </c>
      <c r="BA22" s="3" t="e">
        <f t="shared" si="15"/>
        <v>#N/A</v>
      </c>
      <c r="BB22" s="3" t="e">
        <f t="shared" si="16"/>
        <v>#N/A</v>
      </c>
      <c r="BC22" s="3" t="e">
        <f t="shared" si="17"/>
        <v>#N/A</v>
      </c>
      <c r="BD22" s="3" t="e">
        <f t="shared" si="18"/>
        <v>#N/A</v>
      </c>
      <c r="BE22" s="3" t="e">
        <f t="shared" si="19"/>
        <v>#N/A</v>
      </c>
      <c r="BF22" s="3" t="e">
        <f t="shared" si="20"/>
        <v>#N/A</v>
      </c>
      <c r="BG22" s="3" t="e">
        <f t="shared" si="21"/>
        <v>#N/A</v>
      </c>
      <c r="BH22" s="3">
        <f t="shared" si="22"/>
        <v>-3.5576300327985666</v>
      </c>
      <c r="BI22" s="3" t="e">
        <f t="shared" si="23"/>
        <v>#N/A</v>
      </c>
      <c r="BJ22" s="3" t="e">
        <f t="shared" si="24"/>
        <v>#N/A</v>
      </c>
      <c r="BK22" s="3" t="e">
        <f t="shared" si="25"/>
        <v>#N/A</v>
      </c>
      <c r="BL22" s="3" t="e">
        <f t="shared" si="26"/>
        <v>#N/A</v>
      </c>
      <c r="BM22" s="3" t="e">
        <f t="shared" si="27"/>
        <v>#N/A</v>
      </c>
      <c r="BN22" s="3" t="e">
        <f t="shared" si="28"/>
        <v>#N/A</v>
      </c>
      <c r="BO22" s="3" t="e">
        <f t="shared" si="29"/>
        <v>#N/A</v>
      </c>
      <c r="BP22" s="3" t="e">
        <f t="shared" si="30"/>
        <v>#N/A</v>
      </c>
      <c r="BQ22" s="3" t="e">
        <f t="shared" si="31"/>
        <v>#N/A</v>
      </c>
      <c r="BR22" s="3" t="e">
        <f t="shared" si="32"/>
        <v>#N/A</v>
      </c>
      <c r="BS22" s="3" t="e">
        <f t="shared" si="33"/>
        <v>#N/A</v>
      </c>
      <c r="BT22" s="7" t="e">
        <f t="shared" si="34"/>
        <v>#N/A</v>
      </c>
    </row>
    <row r="23" spans="1:72" ht="17" thickBot="1" x14ac:dyDescent="0.25">
      <c r="A23" s="193" t="s">
        <v>201</v>
      </c>
      <c r="B23" s="43">
        <f>Calcs!B59</f>
        <v>7.5810690216125409E-3</v>
      </c>
      <c r="C23" s="194" t="s">
        <v>17</v>
      </c>
      <c r="K23" s="1"/>
      <c r="V23" s="24">
        <v>19</v>
      </c>
      <c r="W23" s="51"/>
      <c r="X23" s="52"/>
      <c r="Y23" s="51"/>
      <c r="Z23" s="52"/>
      <c r="AA23" s="207"/>
      <c r="AB23" s="207"/>
      <c r="AC23" s="99"/>
      <c r="AD23" s="53"/>
      <c r="AE23" s="18" t="e">
        <f t="shared" si="0"/>
        <v>#N/A</v>
      </c>
      <c r="AF23" s="96" t="e">
        <f t="shared" si="8"/>
        <v>#N/A</v>
      </c>
      <c r="AG23" s="18" t="e">
        <f t="shared" si="9"/>
        <v>#N/A</v>
      </c>
      <c r="AH23" s="18" t="e">
        <f>IF(OR($AE$4&lt;0,AE23&lt;0),NA(),  Calcs!$B$62*10^(-0.4*Calcs!$B$63*_xlfn.SEC(RADIANS(90-$AE$4)))  *  (1 - 10^(-0.4*Calcs!$B$63*_xlfn.SEC(RADIANS(90-AE23))))  *  (  10^5.36 * (1.06+ (COS(RADIANS(AG23))^2)) + 10^(6.15 - AG23/40) )  )</f>
        <v>#N/A</v>
      </c>
      <c r="AI23" s="220" t="e">
        <f t="shared" si="10"/>
        <v>#N/A</v>
      </c>
      <c r="AJ23" s="65"/>
      <c r="AK23" s="255"/>
      <c r="AL23" s="253" t="e">
        <f t="shared" si="35"/>
        <v>#N/A</v>
      </c>
      <c r="AM23" s="254" t="e">
        <f t="shared" si="36"/>
        <v>#N/A</v>
      </c>
      <c r="AN23" s="68" t="e">
        <f t="shared" si="1"/>
        <v>#N/A</v>
      </c>
      <c r="AO23" s="64" t="e">
        <f t="shared" si="2"/>
        <v>#N/A</v>
      </c>
      <c r="AP23" s="65" t="e">
        <f t="shared" si="3"/>
        <v>#N/A</v>
      </c>
      <c r="AQ23" s="64" t="e">
        <f t="shared" si="4"/>
        <v>#N/A</v>
      </c>
      <c r="AR23" s="64" t="e">
        <f t="shared" si="5"/>
        <v>#N/A</v>
      </c>
      <c r="AS23" s="35" t="e">
        <f t="shared" si="6"/>
        <v>#N/A</v>
      </c>
      <c r="AT23" s="35" t="e">
        <f t="shared" si="7"/>
        <v>#N/A</v>
      </c>
      <c r="AU23" t="e">
        <f t="shared" si="11"/>
        <v>#N/A</v>
      </c>
      <c r="AV23" s="65" t="e">
        <f t="shared" si="12"/>
        <v>#N/A</v>
      </c>
      <c r="AW23" s="212" t="e">
        <f t="shared" si="13"/>
        <v>#N/A</v>
      </c>
      <c r="AY23" s="29">
        <f t="shared" si="37"/>
        <v>8</v>
      </c>
      <c r="AZ23" s="3">
        <f t="shared" si="14"/>
        <v>-66.902056263995831</v>
      </c>
      <c r="BA23" s="3" t="e">
        <f t="shared" si="15"/>
        <v>#N/A</v>
      </c>
      <c r="BB23" s="3" t="e">
        <f t="shared" si="16"/>
        <v>#N/A</v>
      </c>
      <c r="BC23" s="3" t="e">
        <f t="shared" si="17"/>
        <v>#N/A</v>
      </c>
      <c r="BD23" s="3" t="e">
        <f t="shared" si="18"/>
        <v>#N/A</v>
      </c>
      <c r="BE23" s="3" t="e">
        <f t="shared" si="19"/>
        <v>#N/A</v>
      </c>
      <c r="BF23" s="3" t="e">
        <f t="shared" si="20"/>
        <v>#N/A</v>
      </c>
      <c r="BG23" s="3" t="e">
        <f t="shared" si="21"/>
        <v>#N/A</v>
      </c>
      <c r="BH23" s="3">
        <f t="shared" si="22"/>
        <v>-9.1726318111045799</v>
      </c>
      <c r="BI23" s="3" t="e">
        <f t="shared" si="23"/>
        <v>#N/A</v>
      </c>
      <c r="BJ23" s="3" t="e">
        <f t="shared" si="24"/>
        <v>#N/A</v>
      </c>
      <c r="BK23" s="3" t="e">
        <f t="shared" si="25"/>
        <v>#N/A</v>
      </c>
      <c r="BL23" s="3" t="e">
        <f t="shared" si="26"/>
        <v>#N/A</v>
      </c>
      <c r="BM23" s="3" t="e">
        <f t="shared" si="27"/>
        <v>#N/A</v>
      </c>
      <c r="BN23" s="3" t="e">
        <f t="shared" si="28"/>
        <v>#N/A</v>
      </c>
      <c r="BO23" s="3" t="e">
        <f t="shared" si="29"/>
        <v>#N/A</v>
      </c>
      <c r="BP23" s="3" t="e">
        <f t="shared" si="30"/>
        <v>#N/A</v>
      </c>
      <c r="BQ23" s="3" t="e">
        <f t="shared" si="31"/>
        <v>#N/A</v>
      </c>
      <c r="BR23" s="3" t="e">
        <f t="shared" si="32"/>
        <v>#N/A</v>
      </c>
      <c r="BS23" s="3" t="e">
        <f t="shared" si="33"/>
        <v>#N/A</v>
      </c>
      <c r="BT23" s="7" t="e">
        <f t="shared" si="34"/>
        <v>#N/A</v>
      </c>
    </row>
    <row r="24" spans="1:72" ht="17" thickBot="1" x14ac:dyDescent="0.25">
      <c r="V24" s="26">
        <v>20</v>
      </c>
      <c r="W24" s="144"/>
      <c r="X24" s="145"/>
      <c r="Y24" s="144"/>
      <c r="Z24" s="145"/>
      <c r="AA24" s="214"/>
      <c r="AB24" s="214"/>
      <c r="AC24" s="147"/>
      <c r="AD24" s="146"/>
      <c r="AE24" s="148" t="e">
        <f t="shared" si="0"/>
        <v>#N/A</v>
      </c>
      <c r="AF24" s="149" t="e">
        <f t="shared" si="8"/>
        <v>#N/A</v>
      </c>
      <c r="AG24" s="148" t="e">
        <f t="shared" si="9"/>
        <v>#N/A</v>
      </c>
      <c r="AH24" s="148" t="e">
        <f>IF(OR($AE$4&lt;0,AE24&lt;0),NA(),  Calcs!$B$62*10^(-0.4*Calcs!$B$63*_xlfn.SEC(RADIANS(90-$AE$4)))  *  (1 - 10^(-0.4*Calcs!$B$63*_xlfn.SEC(RADIANS(90-AE24))))  *  (  10^5.36 * (1.06+ (COS(RADIANS(AG24))^2)) + 10^(6.15 - AG24/40) )  )</f>
        <v>#N/A</v>
      </c>
      <c r="AI24" s="221" t="e">
        <f t="shared" si="10"/>
        <v>#N/A</v>
      </c>
      <c r="AJ24" s="65"/>
      <c r="AK24" s="256"/>
      <c r="AL24" s="257" t="e">
        <f t="shared" si="35"/>
        <v>#N/A</v>
      </c>
      <c r="AM24" s="258" t="e">
        <f t="shared" si="36"/>
        <v>#N/A</v>
      </c>
      <c r="AN24" s="217" t="e">
        <f t="shared" si="1"/>
        <v>#N/A</v>
      </c>
      <c r="AO24" s="33" t="e">
        <f t="shared" si="2"/>
        <v>#N/A</v>
      </c>
      <c r="AP24" s="32" t="e">
        <f t="shared" si="3"/>
        <v>#N/A</v>
      </c>
      <c r="AQ24" s="33" t="e">
        <f t="shared" si="4"/>
        <v>#N/A</v>
      </c>
      <c r="AR24" s="33" t="e">
        <f t="shared" si="5"/>
        <v>#N/A</v>
      </c>
      <c r="AS24" s="48" t="e">
        <f t="shared" si="6"/>
        <v>#N/A</v>
      </c>
      <c r="AT24" s="48" t="e">
        <f t="shared" si="7"/>
        <v>#N/A</v>
      </c>
      <c r="AU24" s="9" t="e">
        <f t="shared" si="11"/>
        <v>#N/A</v>
      </c>
      <c r="AV24" s="32" t="e">
        <f t="shared" si="12"/>
        <v>#N/A</v>
      </c>
      <c r="AW24" s="213" t="e">
        <f t="shared" si="13"/>
        <v>#N/A</v>
      </c>
      <c r="AY24" s="29">
        <f t="shared" si="37"/>
        <v>8.5</v>
      </c>
      <c r="AZ24" s="3">
        <f t="shared" si="14"/>
        <v>-62.278637111804599</v>
      </c>
      <c r="BA24" s="3" t="e">
        <f t="shared" si="15"/>
        <v>#N/A</v>
      </c>
      <c r="BB24" s="3" t="e">
        <f t="shared" si="16"/>
        <v>#N/A</v>
      </c>
      <c r="BC24" s="3" t="e">
        <f t="shared" si="17"/>
        <v>#N/A</v>
      </c>
      <c r="BD24" s="3" t="e">
        <f t="shared" si="18"/>
        <v>#N/A</v>
      </c>
      <c r="BE24" s="3" t="e">
        <f t="shared" si="19"/>
        <v>#N/A</v>
      </c>
      <c r="BF24" s="3" t="e">
        <f t="shared" si="20"/>
        <v>#N/A</v>
      </c>
      <c r="BG24" s="3" t="e">
        <f t="shared" si="21"/>
        <v>#N/A</v>
      </c>
      <c r="BH24" s="3">
        <f t="shared" si="22"/>
        <v>-14.540871278568432</v>
      </c>
      <c r="BI24" s="3" t="e">
        <f t="shared" si="23"/>
        <v>#N/A</v>
      </c>
      <c r="BJ24" s="3" t="e">
        <f t="shared" si="24"/>
        <v>#N/A</v>
      </c>
      <c r="BK24" s="3" t="e">
        <f t="shared" si="25"/>
        <v>#N/A</v>
      </c>
      <c r="BL24" s="3" t="e">
        <f t="shared" si="26"/>
        <v>#N/A</v>
      </c>
      <c r="BM24" s="3" t="e">
        <f t="shared" si="27"/>
        <v>#N/A</v>
      </c>
      <c r="BN24" s="3" t="e">
        <f t="shared" si="28"/>
        <v>#N/A</v>
      </c>
      <c r="BO24" s="3" t="e">
        <f t="shared" si="29"/>
        <v>#N/A</v>
      </c>
      <c r="BP24" s="3" t="e">
        <f t="shared" si="30"/>
        <v>#N/A</v>
      </c>
      <c r="BQ24" s="3" t="e">
        <f t="shared" si="31"/>
        <v>#N/A</v>
      </c>
      <c r="BR24" s="3" t="e">
        <f t="shared" si="32"/>
        <v>#N/A</v>
      </c>
      <c r="BS24" s="3" t="e">
        <f t="shared" si="33"/>
        <v>#N/A</v>
      </c>
      <c r="BT24" s="7" t="e">
        <f t="shared" si="34"/>
        <v>#N/A</v>
      </c>
    </row>
    <row r="25" spans="1:72" x14ac:dyDescent="0.2">
      <c r="AY25" s="29">
        <f>AY24+0.5</f>
        <v>9</v>
      </c>
      <c r="AZ25" s="3">
        <f t="shared" si="14"/>
        <v>-56.900681184640575</v>
      </c>
      <c r="BA25" s="3" t="e">
        <f t="shared" si="15"/>
        <v>#N/A</v>
      </c>
      <c r="BB25" s="3" t="e">
        <f t="shared" si="16"/>
        <v>#N/A</v>
      </c>
      <c r="BC25" s="3" t="e">
        <f t="shared" si="17"/>
        <v>#N/A</v>
      </c>
      <c r="BD25" s="3" t="e">
        <f t="shared" si="18"/>
        <v>#N/A</v>
      </c>
      <c r="BE25" s="3" t="e">
        <f t="shared" si="19"/>
        <v>#N/A</v>
      </c>
      <c r="BF25" s="3" t="e">
        <f t="shared" si="20"/>
        <v>#N/A</v>
      </c>
      <c r="BG25" s="3" t="e">
        <f t="shared" si="21"/>
        <v>#N/A</v>
      </c>
      <c r="BH25" s="3">
        <f t="shared" si="22"/>
        <v>-19.600929168516796</v>
      </c>
      <c r="BI25" s="3" t="e">
        <f t="shared" si="23"/>
        <v>#N/A</v>
      </c>
      <c r="BJ25" s="3" t="e">
        <f t="shared" si="24"/>
        <v>#N/A</v>
      </c>
      <c r="BK25" s="3" t="e">
        <f t="shared" si="25"/>
        <v>#N/A</v>
      </c>
      <c r="BL25" s="3" t="e">
        <f t="shared" si="26"/>
        <v>#N/A</v>
      </c>
      <c r="BM25" s="3" t="e">
        <f t="shared" si="27"/>
        <v>#N/A</v>
      </c>
      <c r="BN25" s="3" t="e">
        <f t="shared" si="28"/>
        <v>#N/A</v>
      </c>
      <c r="BO25" s="3" t="e">
        <f t="shared" si="29"/>
        <v>#N/A</v>
      </c>
      <c r="BP25" s="3" t="e">
        <f t="shared" si="30"/>
        <v>#N/A</v>
      </c>
      <c r="BQ25" s="3" t="e">
        <f t="shared" si="31"/>
        <v>#N/A</v>
      </c>
      <c r="BR25" s="3" t="e">
        <f t="shared" si="32"/>
        <v>#N/A</v>
      </c>
      <c r="BS25" s="3" t="e">
        <f t="shared" si="33"/>
        <v>#N/A</v>
      </c>
      <c r="BT25" s="7" t="e">
        <f t="shared" si="34"/>
        <v>#N/A</v>
      </c>
    </row>
    <row r="26" spans="1:72" x14ac:dyDescent="0.2">
      <c r="AY26" s="29">
        <f t="shared" si="37"/>
        <v>9.5</v>
      </c>
      <c r="AZ26" s="3">
        <f t="shared" si="14"/>
        <v>-51.092698537767014</v>
      </c>
      <c r="BA26" s="3" t="e">
        <f t="shared" si="15"/>
        <v>#N/A</v>
      </c>
      <c r="BB26" s="3" t="e">
        <f t="shared" si="16"/>
        <v>#N/A</v>
      </c>
      <c r="BC26" s="3" t="e">
        <f t="shared" si="17"/>
        <v>#N/A</v>
      </c>
      <c r="BD26" s="3" t="e">
        <f t="shared" si="18"/>
        <v>#N/A</v>
      </c>
      <c r="BE26" s="3" t="e">
        <f t="shared" si="19"/>
        <v>#N/A</v>
      </c>
      <c r="BF26" s="3" t="e">
        <f t="shared" si="20"/>
        <v>#N/A</v>
      </c>
      <c r="BG26" s="3" t="e">
        <f t="shared" si="21"/>
        <v>#N/A</v>
      </c>
      <c r="BH26" s="3">
        <f t="shared" si="22"/>
        <v>-24.277377764412812</v>
      </c>
      <c r="BI26" s="3" t="e">
        <f t="shared" si="23"/>
        <v>#N/A</v>
      </c>
      <c r="BJ26" s="3" t="e">
        <f t="shared" si="24"/>
        <v>#N/A</v>
      </c>
      <c r="BK26" s="3" t="e">
        <f t="shared" si="25"/>
        <v>#N/A</v>
      </c>
      <c r="BL26" s="3" t="e">
        <f t="shared" si="26"/>
        <v>#N/A</v>
      </c>
      <c r="BM26" s="3" t="e">
        <f t="shared" si="27"/>
        <v>#N/A</v>
      </c>
      <c r="BN26" s="3" t="e">
        <f t="shared" si="28"/>
        <v>#N/A</v>
      </c>
      <c r="BO26" s="3" t="e">
        <f t="shared" si="29"/>
        <v>#N/A</v>
      </c>
      <c r="BP26" s="3" t="e">
        <f t="shared" si="30"/>
        <v>#N/A</v>
      </c>
      <c r="BQ26" s="3" t="e">
        <f t="shared" si="31"/>
        <v>#N/A</v>
      </c>
      <c r="BR26" s="3" t="e">
        <f t="shared" si="32"/>
        <v>#N/A</v>
      </c>
      <c r="BS26" s="3" t="e">
        <f t="shared" si="33"/>
        <v>#N/A</v>
      </c>
      <c r="BT26" s="7" t="e">
        <f t="shared" si="34"/>
        <v>#N/A</v>
      </c>
    </row>
    <row r="27" spans="1:72" x14ac:dyDescent="0.2">
      <c r="AY27" s="29">
        <f>AY26+0.5</f>
        <v>10</v>
      </c>
      <c r="AZ27" s="3">
        <f t="shared" si="14"/>
        <v>-45.03617572231542</v>
      </c>
      <c r="BA27" s="3" t="e">
        <f t="shared" si="15"/>
        <v>#N/A</v>
      </c>
      <c r="BB27" s="3" t="e">
        <f t="shared" si="16"/>
        <v>#N/A</v>
      </c>
      <c r="BC27" s="3" t="e">
        <f t="shared" si="17"/>
        <v>#N/A</v>
      </c>
      <c r="BD27" s="3" t="e">
        <f t="shared" si="18"/>
        <v>#N/A</v>
      </c>
      <c r="BE27" s="3" t="e">
        <f t="shared" si="19"/>
        <v>#N/A</v>
      </c>
      <c r="BF27" s="3" t="e">
        <f t="shared" si="20"/>
        <v>#N/A</v>
      </c>
      <c r="BG27" s="3" t="e">
        <f t="shared" si="21"/>
        <v>#N/A</v>
      </c>
      <c r="BH27" s="3">
        <f t="shared" si="22"/>
        <v>-28.479115985863267</v>
      </c>
      <c r="BI27" s="3" t="e">
        <f t="shared" si="23"/>
        <v>#N/A</v>
      </c>
      <c r="BJ27" s="3" t="e">
        <f t="shared" si="24"/>
        <v>#N/A</v>
      </c>
      <c r="BK27" s="3" t="e">
        <f t="shared" si="25"/>
        <v>#N/A</v>
      </c>
      <c r="BL27" s="3" t="e">
        <f t="shared" si="26"/>
        <v>#N/A</v>
      </c>
      <c r="BM27" s="3" t="e">
        <f t="shared" si="27"/>
        <v>#N/A</v>
      </c>
      <c r="BN27" s="3" t="e">
        <f t="shared" si="28"/>
        <v>#N/A</v>
      </c>
      <c r="BO27" s="3" t="e">
        <f t="shared" si="29"/>
        <v>#N/A</v>
      </c>
      <c r="BP27" s="3" t="e">
        <f t="shared" si="30"/>
        <v>#N/A</v>
      </c>
      <c r="BQ27" s="3" t="e">
        <f t="shared" si="31"/>
        <v>#N/A</v>
      </c>
      <c r="BR27" s="3" t="e">
        <f t="shared" si="32"/>
        <v>#N/A</v>
      </c>
      <c r="BS27" s="3" t="e">
        <f t="shared" si="33"/>
        <v>#N/A</v>
      </c>
      <c r="BT27" s="7" t="e">
        <f t="shared" si="34"/>
        <v>#N/A</v>
      </c>
    </row>
    <row r="28" spans="1:72" x14ac:dyDescent="0.2">
      <c r="AY28" s="29">
        <f t="shared" si="37"/>
        <v>10.5</v>
      </c>
      <c r="AZ28" s="3">
        <f t="shared" si="14"/>
        <v>-38.836731401420941</v>
      </c>
      <c r="BA28" s="3" t="e">
        <f t="shared" si="15"/>
        <v>#N/A</v>
      </c>
      <c r="BB28" s="3" t="e">
        <f t="shared" si="16"/>
        <v>#N/A</v>
      </c>
      <c r="BC28" s="3" t="e">
        <f t="shared" si="17"/>
        <v>#N/A</v>
      </c>
      <c r="BD28" s="3" t="e">
        <f t="shared" si="18"/>
        <v>#N/A</v>
      </c>
      <c r="BE28" s="3" t="e">
        <f t="shared" si="19"/>
        <v>#N/A</v>
      </c>
      <c r="BF28" s="3" t="e">
        <f t="shared" si="20"/>
        <v>#N/A</v>
      </c>
      <c r="BG28" s="3" t="e">
        <f t="shared" si="21"/>
        <v>#N/A</v>
      </c>
      <c r="BH28" s="3">
        <f t="shared" si="22"/>
        <v>-32.099742003443261</v>
      </c>
      <c r="BI28" s="3" t="e">
        <f t="shared" si="23"/>
        <v>#N/A</v>
      </c>
      <c r="BJ28" s="3" t="e">
        <f t="shared" si="24"/>
        <v>#N/A</v>
      </c>
      <c r="BK28" s="3" t="e">
        <f t="shared" si="25"/>
        <v>#N/A</v>
      </c>
      <c r="BL28" s="3" t="e">
        <f t="shared" si="26"/>
        <v>#N/A</v>
      </c>
      <c r="BM28" s="3" t="e">
        <f t="shared" si="27"/>
        <v>#N/A</v>
      </c>
      <c r="BN28" s="3" t="e">
        <f t="shared" si="28"/>
        <v>#N/A</v>
      </c>
      <c r="BO28" s="3" t="e">
        <f t="shared" si="29"/>
        <v>#N/A</v>
      </c>
      <c r="BP28" s="3" t="e">
        <f t="shared" si="30"/>
        <v>#N/A</v>
      </c>
      <c r="BQ28" s="3" t="e">
        <f t="shared" si="31"/>
        <v>#N/A</v>
      </c>
      <c r="BR28" s="3" t="e">
        <f t="shared" si="32"/>
        <v>#N/A</v>
      </c>
      <c r="BS28" s="3" t="e">
        <f t="shared" si="33"/>
        <v>#N/A</v>
      </c>
      <c r="BT28" s="7" t="e">
        <f t="shared" si="34"/>
        <v>#N/A</v>
      </c>
    </row>
    <row r="29" spans="1:72" x14ac:dyDescent="0.2">
      <c r="AY29" s="29">
        <f t="shared" si="37"/>
        <v>11</v>
      </c>
      <c r="AZ29" s="3">
        <f t="shared" si="14"/>
        <v>-32.560526477767652</v>
      </c>
      <c r="BA29" s="3" t="e">
        <f t="shared" si="15"/>
        <v>#N/A</v>
      </c>
      <c r="BB29" s="3" t="e">
        <f t="shared" si="16"/>
        <v>#N/A</v>
      </c>
      <c r="BC29" s="3" t="e">
        <f t="shared" si="17"/>
        <v>#N/A</v>
      </c>
      <c r="BD29" s="3" t="e">
        <f t="shared" si="18"/>
        <v>#N/A</v>
      </c>
      <c r="BE29" s="3" t="e">
        <f t="shared" si="19"/>
        <v>#N/A</v>
      </c>
      <c r="BF29" s="3" t="e">
        <f t="shared" si="20"/>
        <v>#N/A</v>
      </c>
      <c r="BG29" s="3" t="e">
        <f t="shared" si="21"/>
        <v>#N/A</v>
      </c>
      <c r="BH29" s="3">
        <f t="shared" si="22"/>
        <v>-35.021941002672513</v>
      </c>
      <c r="BI29" s="3" t="e">
        <f t="shared" si="23"/>
        <v>#N/A</v>
      </c>
      <c r="BJ29" s="3" t="e">
        <f t="shared" si="24"/>
        <v>#N/A</v>
      </c>
      <c r="BK29" s="3" t="e">
        <f t="shared" si="25"/>
        <v>#N/A</v>
      </c>
      <c r="BL29" s="3" t="e">
        <f t="shared" si="26"/>
        <v>#N/A</v>
      </c>
      <c r="BM29" s="3" t="e">
        <f t="shared" si="27"/>
        <v>#N/A</v>
      </c>
      <c r="BN29" s="3" t="e">
        <f t="shared" si="28"/>
        <v>#N/A</v>
      </c>
      <c r="BO29" s="3" t="e">
        <f t="shared" si="29"/>
        <v>#N/A</v>
      </c>
      <c r="BP29" s="3" t="e">
        <f t="shared" si="30"/>
        <v>#N/A</v>
      </c>
      <c r="BQ29" s="3" t="e">
        <f t="shared" si="31"/>
        <v>#N/A</v>
      </c>
      <c r="BR29" s="3" t="e">
        <f t="shared" si="32"/>
        <v>#N/A</v>
      </c>
      <c r="BS29" s="3" t="e">
        <f t="shared" si="33"/>
        <v>#N/A</v>
      </c>
      <c r="BT29" s="7" t="e">
        <f t="shared" si="34"/>
        <v>#N/A</v>
      </c>
    </row>
    <row r="30" spans="1:72" x14ac:dyDescent="0.2">
      <c r="AY30" s="29">
        <f t="shared" si="37"/>
        <v>11.5</v>
      </c>
      <c r="AZ30" s="3">
        <f t="shared" si="14"/>
        <v>-26.252976378463654</v>
      </c>
      <c r="BA30" s="3" t="e">
        <f t="shared" si="15"/>
        <v>#N/A</v>
      </c>
      <c r="BB30" s="3" t="e">
        <f t="shared" si="16"/>
        <v>#N/A</v>
      </c>
      <c r="BC30" s="3" t="e">
        <f t="shared" si="17"/>
        <v>#N/A</v>
      </c>
      <c r="BD30" s="3" t="e">
        <f t="shared" si="18"/>
        <v>#N/A</v>
      </c>
      <c r="BE30" s="3" t="e">
        <f t="shared" si="19"/>
        <v>#N/A</v>
      </c>
      <c r="BF30" s="3" t="e">
        <f t="shared" si="20"/>
        <v>#N/A</v>
      </c>
      <c r="BG30" s="3" t="e">
        <f t="shared" si="21"/>
        <v>#N/A</v>
      </c>
      <c r="BH30" s="3">
        <f t="shared" si="22"/>
        <v>-37.127968501167501</v>
      </c>
      <c r="BI30" s="3" t="e">
        <f t="shared" si="23"/>
        <v>#N/A</v>
      </c>
      <c r="BJ30" s="3" t="e">
        <f t="shared" si="24"/>
        <v>#N/A</v>
      </c>
      <c r="BK30" s="3" t="e">
        <f t="shared" si="25"/>
        <v>#N/A</v>
      </c>
      <c r="BL30" s="3" t="e">
        <f t="shared" si="26"/>
        <v>#N/A</v>
      </c>
      <c r="BM30" s="3" t="e">
        <f t="shared" si="27"/>
        <v>#N/A</v>
      </c>
      <c r="BN30" s="3" t="e">
        <f t="shared" si="28"/>
        <v>#N/A</v>
      </c>
      <c r="BO30" s="3" t="e">
        <f t="shared" si="29"/>
        <v>#N/A</v>
      </c>
      <c r="BP30" s="3" t="e">
        <f t="shared" si="30"/>
        <v>#N/A</v>
      </c>
      <c r="BQ30" s="3" t="e">
        <f t="shared" si="31"/>
        <v>#N/A</v>
      </c>
      <c r="BR30" s="3" t="e">
        <f t="shared" si="32"/>
        <v>#N/A</v>
      </c>
      <c r="BS30" s="3" t="e">
        <f t="shared" si="33"/>
        <v>#N/A</v>
      </c>
      <c r="BT30" s="7" t="e">
        <f t="shared" si="34"/>
        <v>#N/A</v>
      </c>
    </row>
    <row r="31" spans="1:72" x14ac:dyDescent="0.2">
      <c r="AY31" s="29">
        <f t="shared" si="37"/>
        <v>12</v>
      </c>
      <c r="AZ31" s="3">
        <f t="shared" si="14"/>
        <v>-19.948689835251908</v>
      </c>
      <c r="BA31" s="3" t="e">
        <f t="shared" si="15"/>
        <v>#N/A</v>
      </c>
      <c r="BB31" s="3" t="e">
        <f t="shared" si="16"/>
        <v>#N/A</v>
      </c>
      <c r="BC31" s="3" t="e">
        <f t="shared" si="17"/>
        <v>#N/A</v>
      </c>
      <c r="BD31" s="3" t="e">
        <f t="shared" si="18"/>
        <v>#N/A</v>
      </c>
      <c r="BE31" s="3" t="e">
        <f t="shared" si="19"/>
        <v>#N/A</v>
      </c>
      <c r="BF31" s="3" t="e">
        <f t="shared" si="20"/>
        <v>#N/A</v>
      </c>
      <c r="BG31" s="3" t="e">
        <f t="shared" si="21"/>
        <v>#N/A</v>
      </c>
      <c r="BH31" s="3">
        <f t="shared" si="22"/>
        <v>-38.31671652867054</v>
      </c>
      <c r="BI31" s="3" t="e">
        <f t="shared" si="23"/>
        <v>#N/A</v>
      </c>
      <c r="BJ31" s="3" t="e">
        <f t="shared" si="24"/>
        <v>#N/A</v>
      </c>
      <c r="BK31" s="3" t="e">
        <f t="shared" si="25"/>
        <v>#N/A</v>
      </c>
      <c r="BL31" s="3" t="e">
        <f t="shared" si="26"/>
        <v>#N/A</v>
      </c>
      <c r="BM31" s="3" t="e">
        <f t="shared" si="27"/>
        <v>#N/A</v>
      </c>
      <c r="BN31" s="3" t="e">
        <f t="shared" si="28"/>
        <v>#N/A</v>
      </c>
      <c r="BO31" s="3" t="e">
        <f t="shared" si="29"/>
        <v>#N/A</v>
      </c>
      <c r="BP31" s="3" t="e">
        <f t="shared" si="30"/>
        <v>#N/A</v>
      </c>
      <c r="BQ31" s="3" t="e">
        <f t="shared" si="31"/>
        <v>#N/A</v>
      </c>
      <c r="BR31" s="3" t="e">
        <f t="shared" si="32"/>
        <v>#N/A</v>
      </c>
      <c r="BS31" s="3" t="e">
        <f t="shared" si="33"/>
        <v>#N/A</v>
      </c>
      <c r="BT31" s="7" t="e">
        <f t="shared" si="34"/>
        <v>#N/A</v>
      </c>
    </row>
    <row r="32" spans="1:72" x14ac:dyDescent="0.2">
      <c r="AQ32" s="1"/>
      <c r="AR32" s="1"/>
      <c r="AS32" s="1"/>
      <c r="AY32" s="29">
        <f t="shared" si="37"/>
        <v>12.5</v>
      </c>
      <c r="AZ32" s="3">
        <f t="shared" si="14"/>
        <v>-13.677150992021119</v>
      </c>
      <c r="BA32" s="3" t="e">
        <f t="shared" si="15"/>
        <v>#N/A</v>
      </c>
      <c r="BB32" s="3" t="e">
        <f t="shared" si="16"/>
        <v>#N/A</v>
      </c>
      <c r="BC32" s="3" t="e">
        <f t="shared" si="17"/>
        <v>#N/A</v>
      </c>
      <c r="BD32" s="3" t="e">
        <f t="shared" si="18"/>
        <v>#N/A</v>
      </c>
      <c r="BE32" s="3" t="e">
        <f t="shared" si="19"/>
        <v>#N/A</v>
      </c>
      <c r="BF32" s="3" t="e">
        <f t="shared" si="20"/>
        <v>#N/A</v>
      </c>
      <c r="BG32" s="3" t="e">
        <f t="shared" si="21"/>
        <v>#N/A</v>
      </c>
      <c r="BH32" s="3">
        <f t="shared" si="22"/>
        <v>-38.523930492810926</v>
      </c>
      <c r="BI32" s="3" t="e">
        <f t="shared" si="23"/>
        <v>#N/A</v>
      </c>
      <c r="BJ32" s="3" t="e">
        <f t="shared" si="24"/>
        <v>#N/A</v>
      </c>
      <c r="BK32" s="3" t="e">
        <f t="shared" si="25"/>
        <v>#N/A</v>
      </c>
      <c r="BL32" s="3" t="e">
        <f t="shared" si="26"/>
        <v>#N/A</v>
      </c>
      <c r="BM32" s="3" t="e">
        <f t="shared" si="27"/>
        <v>#N/A</v>
      </c>
      <c r="BN32" s="3" t="e">
        <f t="shared" si="28"/>
        <v>#N/A</v>
      </c>
      <c r="BO32" s="3" t="e">
        <f t="shared" si="29"/>
        <v>#N/A</v>
      </c>
      <c r="BP32" s="3" t="e">
        <f t="shared" si="30"/>
        <v>#N/A</v>
      </c>
      <c r="BQ32" s="3" t="e">
        <f t="shared" si="31"/>
        <v>#N/A</v>
      </c>
      <c r="BR32" s="3" t="e">
        <f t="shared" si="32"/>
        <v>#N/A</v>
      </c>
      <c r="BS32" s="3" t="e">
        <f t="shared" si="33"/>
        <v>#N/A</v>
      </c>
      <c r="BT32" s="7" t="e">
        <f t="shared" si="34"/>
        <v>#N/A</v>
      </c>
    </row>
    <row r="33" spans="2:72" x14ac:dyDescent="0.2">
      <c r="AQ33" s="1"/>
      <c r="AR33" s="1"/>
      <c r="AS33" s="1"/>
      <c r="AY33" s="29">
        <f t="shared" si="37"/>
        <v>13</v>
      </c>
      <c r="AZ33" s="3">
        <f t="shared" si="14"/>
        <v>-7.4663449551510865</v>
      </c>
      <c r="BA33" s="3" t="e">
        <f t="shared" si="15"/>
        <v>#N/A</v>
      </c>
      <c r="BB33" s="3" t="e">
        <f t="shared" si="16"/>
        <v>#N/A</v>
      </c>
      <c r="BC33" s="3" t="e">
        <f t="shared" si="17"/>
        <v>#N/A</v>
      </c>
      <c r="BD33" s="3" t="e">
        <f t="shared" si="18"/>
        <v>#N/A</v>
      </c>
      <c r="BE33" s="3" t="e">
        <f t="shared" si="19"/>
        <v>#N/A</v>
      </c>
      <c r="BF33" s="3" t="e">
        <f t="shared" si="20"/>
        <v>#N/A</v>
      </c>
      <c r="BG33" s="3" t="e">
        <f t="shared" si="21"/>
        <v>#N/A</v>
      </c>
      <c r="BH33" s="3">
        <f t="shared" si="22"/>
        <v>-37.73782215539228</v>
      </c>
      <c r="BI33" s="3" t="e">
        <f t="shared" si="23"/>
        <v>#N/A</v>
      </c>
      <c r="BJ33" s="3" t="e">
        <f t="shared" si="24"/>
        <v>#N/A</v>
      </c>
      <c r="BK33" s="3" t="e">
        <f t="shared" si="25"/>
        <v>#N/A</v>
      </c>
      <c r="BL33" s="3" t="e">
        <f t="shared" si="26"/>
        <v>#N/A</v>
      </c>
      <c r="BM33" s="3" t="e">
        <f t="shared" si="27"/>
        <v>#N/A</v>
      </c>
      <c r="BN33" s="3" t="e">
        <f t="shared" si="28"/>
        <v>#N/A</v>
      </c>
      <c r="BO33" s="3" t="e">
        <f t="shared" si="29"/>
        <v>#N/A</v>
      </c>
      <c r="BP33" s="3" t="e">
        <f t="shared" si="30"/>
        <v>#N/A</v>
      </c>
      <c r="BQ33" s="3" t="e">
        <f t="shared" si="31"/>
        <v>#N/A</v>
      </c>
      <c r="BR33" s="3" t="e">
        <f t="shared" si="32"/>
        <v>#N/A</v>
      </c>
      <c r="BS33" s="3" t="e">
        <f t="shared" si="33"/>
        <v>#N/A</v>
      </c>
      <c r="BT33" s="7" t="e">
        <f t="shared" si="34"/>
        <v>#N/A</v>
      </c>
    </row>
    <row r="34" spans="2:72" x14ac:dyDescent="0.2">
      <c r="AQ34" s="1"/>
      <c r="AR34" s="1"/>
      <c r="AS34" s="1"/>
      <c r="AY34" s="29">
        <f t="shared" si="37"/>
        <v>13.5</v>
      </c>
      <c r="AZ34" s="3">
        <f t="shared" si="14"/>
        <v>-1.3454404045085029</v>
      </c>
      <c r="BA34" s="3" t="e">
        <f t="shared" si="15"/>
        <v>#N/A</v>
      </c>
      <c r="BB34" s="3" t="e">
        <f t="shared" si="16"/>
        <v>#N/A</v>
      </c>
      <c r="BC34" s="3" t="e">
        <f t="shared" si="17"/>
        <v>#N/A</v>
      </c>
      <c r="BD34" s="3" t="e">
        <f t="shared" si="18"/>
        <v>#N/A</v>
      </c>
      <c r="BE34" s="3" t="e">
        <f t="shared" si="19"/>
        <v>#N/A</v>
      </c>
      <c r="BF34" s="3" t="e">
        <f t="shared" si="20"/>
        <v>#N/A</v>
      </c>
      <c r="BG34" s="3" t="e">
        <f t="shared" si="21"/>
        <v>#N/A</v>
      </c>
      <c r="BH34" s="3">
        <f t="shared" si="22"/>
        <v>-36.002171004250194</v>
      </c>
      <c r="BI34" s="3" t="e">
        <f t="shared" si="23"/>
        <v>#N/A</v>
      </c>
      <c r="BJ34" s="3" t="e">
        <f t="shared" si="24"/>
        <v>#N/A</v>
      </c>
      <c r="BK34" s="3" t="e">
        <f t="shared" si="25"/>
        <v>#N/A</v>
      </c>
      <c r="BL34" s="3" t="e">
        <f t="shared" si="26"/>
        <v>#N/A</v>
      </c>
      <c r="BM34" s="3" t="e">
        <f t="shared" si="27"/>
        <v>#N/A</v>
      </c>
      <c r="BN34" s="3" t="e">
        <f t="shared" si="28"/>
        <v>#N/A</v>
      </c>
      <c r="BO34" s="3" t="e">
        <f t="shared" si="29"/>
        <v>#N/A</v>
      </c>
      <c r="BP34" s="3" t="e">
        <f t="shared" si="30"/>
        <v>#N/A</v>
      </c>
      <c r="BQ34" s="3" t="e">
        <f t="shared" si="31"/>
        <v>#N/A</v>
      </c>
      <c r="BR34" s="3" t="e">
        <f t="shared" si="32"/>
        <v>#N/A</v>
      </c>
      <c r="BS34" s="3" t="e">
        <f t="shared" si="33"/>
        <v>#N/A</v>
      </c>
      <c r="BT34" s="7" t="e">
        <f t="shared" si="34"/>
        <v>#N/A</v>
      </c>
    </row>
    <row r="35" spans="2:72" x14ac:dyDescent="0.2">
      <c r="AQ35" s="1"/>
      <c r="AR35" s="1"/>
      <c r="AS35" s="1"/>
      <c r="AY35" s="29">
        <f t="shared" si="37"/>
        <v>14</v>
      </c>
      <c r="AZ35" s="3">
        <f t="shared" si="14"/>
        <v>4.652859215761362</v>
      </c>
      <c r="BA35" s="3" t="e">
        <f t="shared" si="15"/>
        <v>#N/A</v>
      </c>
      <c r="BB35" s="3" t="e">
        <f t="shared" si="16"/>
        <v>#N/A</v>
      </c>
      <c r="BC35" s="3" t="e">
        <f t="shared" si="17"/>
        <v>#N/A</v>
      </c>
      <c r="BD35" s="3" t="e">
        <f t="shared" si="18"/>
        <v>#N/A</v>
      </c>
      <c r="BE35" s="3" t="e">
        <f t="shared" si="19"/>
        <v>#N/A</v>
      </c>
      <c r="BF35" s="3" t="e">
        <f t="shared" si="20"/>
        <v>#N/A</v>
      </c>
      <c r="BG35" s="3" t="e">
        <f t="shared" si="21"/>
        <v>#N/A</v>
      </c>
      <c r="BH35" s="3">
        <f t="shared" si="22"/>
        <v>-33.405177484651318</v>
      </c>
      <c r="BI35" s="3" t="e">
        <f t="shared" si="23"/>
        <v>#N/A</v>
      </c>
      <c r="BJ35" s="3" t="e">
        <f t="shared" si="24"/>
        <v>#N/A</v>
      </c>
      <c r="BK35" s="3" t="e">
        <f t="shared" si="25"/>
        <v>#N/A</v>
      </c>
      <c r="BL35" s="3" t="e">
        <f t="shared" si="26"/>
        <v>#N/A</v>
      </c>
      <c r="BM35" s="3" t="e">
        <f t="shared" si="27"/>
        <v>#N/A</v>
      </c>
      <c r="BN35" s="3" t="e">
        <f t="shared" si="28"/>
        <v>#N/A</v>
      </c>
      <c r="BO35" s="3" t="e">
        <f t="shared" si="29"/>
        <v>#N/A</v>
      </c>
      <c r="BP35" s="3" t="e">
        <f t="shared" si="30"/>
        <v>#N/A</v>
      </c>
      <c r="BQ35" s="3" t="e">
        <f t="shared" si="31"/>
        <v>#N/A</v>
      </c>
      <c r="BR35" s="3" t="e">
        <f t="shared" si="32"/>
        <v>#N/A</v>
      </c>
      <c r="BS35" s="3" t="e">
        <f t="shared" si="33"/>
        <v>#N/A</v>
      </c>
      <c r="BT35" s="7" t="e">
        <f t="shared" si="34"/>
        <v>#N/A</v>
      </c>
    </row>
    <row r="36" spans="2:72" x14ac:dyDescent="0.2">
      <c r="AQ36" s="1"/>
      <c r="AR36" s="1"/>
      <c r="AS36" s="1"/>
      <c r="AY36" s="29">
        <f t="shared" si="37"/>
        <v>14.5</v>
      </c>
      <c r="AZ36" s="3">
        <f t="shared" si="14"/>
        <v>10.489921292141169</v>
      </c>
      <c r="BA36" s="3" t="e">
        <f t="shared" si="15"/>
        <v>#N/A</v>
      </c>
      <c r="BB36" s="3" t="e">
        <f t="shared" si="16"/>
        <v>#N/A</v>
      </c>
      <c r="BC36" s="3" t="e">
        <f t="shared" si="17"/>
        <v>#N/A</v>
      </c>
      <c r="BD36" s="3" t="e">
        <f t="shared" si="18"/>
        <v>#N/A</v>
      </c>
      <c r="BE36" s="3" t="e">
        <f t="shared" si="19"/>
        <v>#N/A</v>
      </c>
      <c r="BF36" s="3" t="e">
        <f t="shared" si="20"/>
        <v>#N/A</v>
      </c>
      <c r="BG36" s="3" t="e">
        <f t="shared" si="21"/>
        <v>#N/A</v>
      </c>
      <c r="BH36" s="3">
        <f t="shared" si="22"/>
        <v>-30.060061186139531</v>
      </c>
      <c r="BI36" s="3" t="e">
        <f t="shared" si="23"/>
        <v>#N/A</v>
      </c>
      <c r="BJ36" s="3" t="e">
        <f t="shared" si="24"/>
        <v>#N/A</v>
      </c>
      <c r="BK36" s="3" t="e">
        <f t="shared" si="25"/>
        <v>#N/A</v>
      </c>
      <c r="BL36" s="3" t="e">
        <f t="shared" si="26"/>
        <v>#N/A</v>
      </c>
      <c r="BM36" s="3" t="e">
        <f t="shared" si="27"/>
        <v>#N/A</v>
      </c>
      <c r="BN36" s="3" t="e">
        <f t="shared" si="28"/>
        <v>#N/A</v>
      </c>
      <c r="BO36" s="3" t="e">
        <f t="shared" si="29"/>
        <v>#N/A</v>
      </c>
      <c r="BP36" s="3" t="e">
        <f t="shared" si="30"/>
        <v>#N/A</v>
      </c>
      <c r="BQ36" s="3" t="e">
        <f t="shared" si="31"/>
        <v>#N/A</v>
      </c>
      <c r="BR36" s="3" t="e">
        <f t="shared" si="32"/>
        <v>#N/A</v>
      </c>
      <c r="BS36" s="3" t="e">
        <f t="shared" si="33"/>
        <v>#N/A</v>
      </c>
      <c r="BT36" s="7" t="e">
        <f t="shared" si="34"/>
        <v>#N/A</v>
      </c>
    </row>
    <row r="37" spans="2:72" ht="17" thickBot="1" x14ac:dyDescent="0.25">
      <c r="AQ37" s="1"/>
      <c r="AR37" s="1"/>
      <c r="AS37" s="1"/>
      <c r="AY37" s="30">
        <f t="shared" si="37"/>
        <v>15</v>
      </c>
      <c r="AZ37" s="10">
        <f t="shared" si="14"/>
        <v>16.118498732643513</v>
      </c>
      <c r="BA37" s="10" t="e">
        <f t="shared" si="15"/>
        <v>#N/A</v>
      </c>
      <c r="BB37" s="10" t="e">
        <f t="shared" si="16"/>
        <v>#N/A</v>
      </c>
      <c r="BC37" s="10" t="e">
        <f t="shared" si="17"/>
        <v>#N/A</v>
      </c>
      <c r="BD37" s="10" t="e">
        <f t="shared" si="18"/>
        <v>#N/A</v>
      </c>
      <c r="BE37" s="10" t="e">
        <f t="shared" si="19"/>
        <v>#N/A</v>
      </c>
      <c r="BF37" s="10" t="e">
        <f t="shared" si="20"/>
        <v>#N/A</v>
      </c>
      <c r="BG37" s="10" t="e">
        <f t="shared" si="21"/>
        <v>#N/A</v>
      </c>
      <c r="BH37" s="10">
        <f t="shared" si="22"/>
        <v>-26.085986953495851</v>
      </c>
      <c r="BI37" s="10" t="e">
        <f t="shared" si="23"/>
        <v>#N/A</v>
      </c>
      <c r="BJ37" s="10" t="e">
        <f t="shared" si="24"/>
        <v>#N/A</v>
      </c>
      <c r="BK37" s="10" t="e">
        <f t="shared" si="25"/>
        <v>#N/A</v>
      </c>
      <c r="BL37" s="10" t="e">
        <f t="shared" si="26"/>
        <v>#N/A</v>
      </c>
      <c r="BM37" s="10" t="e">
        <f t="shared" si="27"/>
        <v>#N/A</v>
      </c>
      <c r="BN37" s="10" t="e">
        <f t="shared" si="28"/>
        <v>#N/A</v>
      </c>
      <c r="BO37" s="10" t="e">
        <f t="shared" si="29"/>
        <v>#N/A</v>
      </c>
      <c r="BP37" s="10" t="e">
        <f t="shared" si="30"/>
        <v>#N/A</v>
      </c>
      <c r="BQ37" s="10" t="e">
        <f t="shared" si="31"/>
        <v>#N/A</v>
      </c>
      <c r="BR37" s="10" t="e">
        <f t="shared" si="32"/>
        <v>#N/A</v>
      </c>
      <c r="BS37" s="10" t="e">
        <f t="shared" si="33"/>
        <v>#N/A</v>
      </c>
      <c r="BT37" s="11" t="e">
        <f t="shared" si="34"/>
        <v>#N/A</v>
      </c>
    </row>
    <row r="38" spans="2:72" x14ac:dyDescent="0.2">
      <c r="B38" s="1"/>
      <c r="AQ38" s="1"/>
      <c r="AR38" s="1"/>
      <c r="AS38" s="1"/>
    </row>
    <row r="39" spans="2:72" ht="17" thickBot="1" x14ac:dyDescent="0.25">
      <c r="AQ39" s="1"/>
      <c r="AR39" s="1"/>
      <c r="AS39" s="1"/>
      <c r="AU39" s="1"/>
      <c r="AV39" s="1"/>
      <c r="AW39" s="1"/>
      <c r="AX39" s="1"/>
      <c r="AY39" s="1"/>
      <c r="AZ39" s="1"/>
    </row>
    <row r="40" spans="2:72" ht="17" thickBot="1" x14ac:dyDescent="0.25">
      <c r="AQ40" s="1"/>
      <c r="AR40" s="1"/>
      <c r="AS40" s="1"/>
      <c r="AU40" s="1"/>
      <c r="AV40" s="1"/>
      <c r="AW40" s="1"/>
      <c r="AX40" s="1"/>
      <c r="BH40" s="307" t="s">
        <v>99</v>
      </c>
      <c r="BI40" s="308"/>
      <c r="BJ40" s="308"/>
      <c r="BK40" s="309"/>
      <c r="BO40" s="301" t="s">
        <v>11</v>
      </c>
      <c r="BP40" s="302"/>
      <c r="BQ40" s="302"/>
      <c r="BR40" s="303"/>
    </row>
    <row r="41" spans="2:72" x14ac:dyDescent="0.2">
      <c r="AQ41" s="1"/>
      <c r="AR41" s="1"/>
      <c r="AS41" s="1"/>
      <c r="AU41" s="1"/>
      <c r="AV41" s="1"/>
      <c r="AW41" s="1"/>
      <c r="AX41" s="1"/>
      <c r="BE41" s="1"/>
      <c r="BG41" s="69" t="s">
        <v>38</v>
      </c>
      <c r="BH41" s="70" t="s">
        <v>0</v>
      </c>
      <c r="BI41" s="70" t="s">
        <v>5</v>
      </c>
      <c r="BJ41" s="70" t="s">
        <v>6</v>
      </c>
      <c r="BK41" s="70" t="s">
        <v>28</v>
      </c>
      <c r="BL41" s="71" t="s">
        <v>29</v>
      </c>
      <c r="BM41" s="1"/>
      <c r="BO41" s="40" t="s">
        <v>28</v>
      </c>
      <c r="BP41" s="2" t="s">
        <v>29</v>
      </c>
      <c r="BQ41" s="297" t="s">
        <v>30</v>
      </c>
      <c r="BR41" s="298"/>
    </row>
    <row r="42" spans="2:72" x14ac:dyDescent="0.2">
      <c r="AQ42" s="1"/>
      <c r="AR42" s="1"/>
      <c r="AS42" s="1"/>
      <c r="AU42" s="1"/>
      <c r="AV42" s="1"/>
      <c r="AW42" s="1"/>
      <c r="AX42" s="1"/>
      <c r="BE42" s="1"/>
      <c r="BG42" s="72">
        <v>0</v>
      </c>
      <c r="BH42" s="65">
        <f>$B$6 - Calcs!AG57/15</f>
        <v>4.256162054247004</v>
      </c>
      <c r="BI42" s="64">
        <f>MOD(-180/PI()*ATAN2(-SIN(RADIANS($B$3))*COS(RADIANS(Calcs!AH57))*COS(RADIANS(15*BH42))+COS(RADIANS($B$3))*SIN(RADIANS(Calcs!AH57)),COS(RADIANS(Calcs!AH57))*SIN(RADIANS(15*BH42))),360)</f>
        <v>327.41223070157378</v>
      </c>
      <c r="BJ42" s="64">
        <f>180/PI()*ASIN(SIN(RADIANS($B$3))*SIN(RADIANS(Calcs!AH57))+COS(RADIANS($B$3))*COS(RADIANS(Calcs!AH57))*COS(RADIANS(15*BH42)))</f>
        <v>40.539153827684245</v>
      </c>
      <c r="BK42" s="35">
        <f>IF(BJ42&lt;0,NA(),(90-BJ42)/90*SIN(RADIANS(-BI42)))</f>
        <v>0.29599070581445414</v>
      </c>
      <c r="BL42" s="47">
        <f>IF(BJ42&lt;0,NA(),(90-BJ42)/90*COS(RADIANS(-BI42)))</f>
        <v>0.46304551023701396</v>
      </c>
      <c r="BM42" s="1"/>
      <c r="BO42" s="24">
        <v>310</v>
      </c>
      <c r="BP42" s="1">
        <v>90</v>
      </c>
      <c r="BQ42" s="299" t="s">
        <v>41</v>
      </c>
      <c r="BR42" s="300"/>
    </row>
    <row r="43" spans="2:72" x14ac:dyDescent="0.2">
      <c r="AQ43" s="1"/>
      <c r="AR43" s="1"/>
      <c r="AS43" s="1"/>
      <c r="AU43" s="1"/>
      <c r="AV43" s="1"/>
      <c r="AW43" s="1"/>
      <c r="AX43" s="1"/>
      <c r="BG43" s="73">
        <v>30</v>
      </c>
      <c r="BH43" s="65">
        <f>$B$6 - Calcs!AG58/15</f>
        <v>-16.297363556320523</v>
      </c>
      <c r="BI43" s="64">
        <f>MOD(-180/PI()*ATAN2(-SIN(RADIANS($B$3))*COS(RADIANS(Calcs!AH58))*COS(RADIANS(15*BH43))+COS(RADIANS($B$3))*SIN(RADIANS(Calcs!AH58)),COS(RADIANS(Calcs!AH58))*SIN(RADIANS(15*BH43))),360)</f>
        <v>324.19592986562293</v>
      </c>
      <c r="BJ43" s="64">
        <f>180/PI()*ASIN(SIN(RADIANS($B$3))*SIN(RADIANS(Calcs!AH58))+COS(RADIANS($B$3))*COS(RADIANS(Calcs!AH58))*COS(RADIANS(15*BH43)))</f>
        <v>10.674229079185682</v>
      </c>
      <c r="BK43" s="35">
        <f t="shared" ref="BK43:BK54" si="38">IF(BJ43&lt;0,NA(),(90-BJ43)/90*SIN(RADIANS(-BI43)))</f>
        <v>0.51563098689235554</v>
      </c>
      <c r="BL43" s="47">
        <f t="shared" ref="BL43:BL54" si="39">IF(BJ43&lt;0,NA(),(90-BJ43)/90*COS(RADIANS(-BI43)))</f>
        <v>0.71483295843521655</v>
      </c>
      <c r="BM43" s="3"/>
      <c r="BO43" s="24">
        <v>350</v>
      </c>
      <c r="BP43" s="1">
        <v>90</v>
      </c>
      <c r="BQ43" s="35">
        <f>B8</f>
        <v>1.58</v>
      </c>
      <c r="BR43" s="14"/>
    </row>
    <row r="44" spans="2:72" x14ac:dyDescent="0.2">
      <c r="AQ44" s="1"/>
      <c r="AR44" s="1"/>
      <c r="AS44" s="1"/>
      <c r="AU44" s="1"/>
      <c r="AV44" s="1"/>
      <c r="AW44" s="1"/>
      <c r="AX44" s="1"/>
      <c r="BE44" s="1"/>
      <c r="BG44" s="73">
        <v>60</v>
      </c>
      <c r="BH44" s="65">
        <f>$B$6 - Calcs!AG59/15</f>
        <v>-14.72717135607785</v>
      </c>
      <c r="BI44" s="64">
        <f>MOD(-180/PI()*ATAN2(-SIN(RADIANS($B$3))*COS(RADIANS(Calcs!AH59))*COS(RADIANS(15*BH44))+COS(RADIANS($B$3))*SIN(RADIANS(Calcs!AH59)),COS(RADIANS(Calcs!AH59))*SIN(RADIANS(15*BH44))),360)</f>
        <v>321.60790617262882</v>
      </c>
      <c r="BJ44" s="64">
        <f>180/PI()*ASIN(SIN(RADIANS($B$3))*SIN(RADIANS(Calcs!AH59))+COS(RADIANS($B$3))*COS(RADIANS(Calcs!AH59))*COS(RADIANS(15*BH44)))</f>
        <v>-19.21713507914518</v>
      </c>
      <c r="BK44" s="35" t="e">
        <f t="shared" si="38"/>
        <v>#N/A</v>
      </c>
      <c r="BL44" s="47" t="e">
        <f t="shared" si="39"/>
        <v>#N/A</v>
      </c>
      <c r="BM44" s="3"/>
      <c r="BO44" s="24">
        <v>12</v>
      </c>
      <c r="BP44" s="1">
        <v>90</v>
      </c>
      <c r="BQ44" s="299" t="s">
        <v>44</v>
      </c>
      <c r="BR44" s="300"/>
    </row>
    <row r="45" spans="2:72" x14ac:dyDescent="0.2">
      <c r="AQ45" s="1"/>
      <c r="AR45" s="1"/>
      <c r="AS45" s="1"/>
      <c r="AU45" s="1"/>
      <c r="AV45" s="1"/>
      <c r="AW45" s="1"/>
      <c r="AX45" s="1"/>
      <c r="BE45" s="1"/>
      <c r="BG45" s="73">
        <v>90</v>
      </c>
      <c r="BH45" s="65">
        <f>$B$6 - Calcs!AG60/15</f>
        <v>-13.743837945752997</v>
      </c>
      <c r="BI45" s="64">
        <f>MOD(-180/PI()*ATAN2(-SIN(RADIANS($B$3))*COS(RADIANS(Calcs!AH60))*COS(RADIANS(15*BH45))+COS(RADIANS($B$3))*SIN(RADIANS(Calcs!AH60)),COS(RADIANS(Calcs!AH60))*SIN(RADIANS(15*BH45))),360)</f>
        <v>317.72550334642995</v>
      </c>
      <c r="BJ45" s="64">
        <f>180/PI()*ASIN(SIN(RADIANS($B$3))*SIN(RADIANS(Calcs!AH60))+COS(RADIANS($B$3))*COS(RADIANS(Calcs!AH60))*COS(RADIANS(15*BH45)))</f>
        <v>-49.053996495771351</v>
      </c>
      <c r="BK45" s="35" t="e">
        <f t="shared" si="38"/>
        <v>#N/A</v>
      </c>
      <c r="BL45" s="47" t="e">
        <f t="shared" si="39"/>
        <v>#N/A</v>
      </c>
      <c r="BM45" s="3"/>
      <c r="BO45" s="68">
        <f>B7</f>
        <v>1.9666666666666668</v>
      </c>
      <c r="BP45" s="1">
        <v>4</v>
      </c>
      <c r="BQ45" s="1" t="s">
        <v>34</v>
      </c>
      <c r="BR45" s="14"/>
    </row>
    <row r="46" spans="2:72" x14ac:dyDescent="0.2">
      <c r="AQ46" s="1"/>
      <c r="AR46" s="1"/>
      <c r="AS46" s="1"/>
      <c r="BE46" s="1"/>
      <c r="BG46" s="73">
        <v>120</v>
      </c>
      <c r="BH46" s="65">
        <f>$B$6 - Calcs!AG61/15</f>
        <v>-12.76050453542814</v>
      </c>
      <c r="BI46" s="64">
        <f>MOD(-180/PI()*ATAN2(-SIN(RADIANS($B$3))*COS(RADIANS(Calcs!AH61))*COS(RADIANS(15*BH46))+COS(RADIANS($B$3))*SIN(RADIANS(Calcs!AH61)),COS(RADIANS(Calcs!AH61))*SIN(RADIANS(15*BH46))),360)</f>
        <v>299.39537904478357</v>
      </c>
      <c r="BJ46" s="64">
        <f>180/PI()*ASIN(SIN(RADIANS($B$3))*SIN(RADIANS(Calcs!AH61))+COS(RADIANS($B$3))*COS(RADIANS(Calcs!AH61))*COS(RADIANS(15*BH46)))</f>
        <v>-78.270026341771498</v>
      </c>
      <c r="BK46" s="35" t="e">
        <f t="shared" si="38"/>
        <v>#N/A</v>
      </c>
      <c r="BL46" s="47" t="e">
        <f t="shared" si="39"/>
        <v>#N/A</v>
      </c>
      <c r="BM46" s="3"/>
      <c r="BO46" s="24">
        <v>0.7</v>
      </c>
      <c r="BP46" s="1">
        <v>1.08</v>
      </c>
      <c r="BR46" s="14"/>
    </row>
    <row r="47" spans="2:72" ht="17" thickBot="1" x14ac:dyDescent="0.25">
      <c r="AU47" s="54"/>
      <c r="AV47" s="54"/>
      <c r="AW47" s="54"/>
      <c r="AX47" s="55"/>
      <c r="BE47" s="1"/>
      <c r="BG47" s="73">
        <v>150</v>
      </c>
      <c r="BH47" s="65">
        <f>$B$6 - Calcs!AG62/15</f>
        <v>-11.190312335185467</v>
      </c>
      <c r="BI47" s="64">
        <f>MOD(-180/PI()*ATAN2(-SIN(RADIANS($B$3))*COS(RADIANS(Calcs!AH62))*COS(RADIANS(15*BH47))+COS(RADIANS($B$3))*SIN(RADIANS(Calcs!AH62)),COS(RADIANS(Calcs!AH62))*SIN(RADIANS(15*BH47))),360)</f>
        <v>156.75430099729277</v>
      </c>
      <c r="BJ47" s="64">
        <f>180/PI()*ASIN(SIN(RADIANS($B$3))*SIN(RADIANS(Calcs!AH62))+COS(RADIANS($B$3))*COS(RADIANS(Calcs!AH62))*COS(RADIANS(15*BH47)))</f>
        <v>-70.14449142820726</v>
      </c>
      <c r="BK47" s="35" t="e">
        <f t="shared" si="38"/>
        <v>#N/A</v>
      </c>
      <c r="BL47" s="47" t="e">
        <f t="shared" si="39"/>
        <v>#N/A</v>
      </c>
      <c r="BM47" s="3"/>
      <c r="BO47" s="26">
        <v>0.98</v>
      </c>
      <c r="BP47" s="27">
        <v>1.08</v>
      </c>
      <c r="BQ47" s="9"/>
      <c r="BR47" s="15"/>
    </row>
    <row r="48" spans="2:72" x14ac:dyDescent="0.2">
      <c r="AQ48" s="1"/>
      <c r="AR48" s="1"/>
      <c r="AS48" s="1"/>
      <c r="BE48" s="1"/>
      <c r="BF48" s="1"/>
      <c r="BG48" s="73">
        <v>180</v>
      </c>
      <c r="BH48" s="65">
        <f>$B$6 - Calcs!AG63/15</f>
        <v>-7.7438379457529951</v>
      </c>
      <c r="BI48" s="64">
        <f>MOD(-180/PI()*ATAN2(-SIN(RADIANS($B$3))*COS(RADIANS(Calcs!AH63))*COS(RADIANS(15*BH48))+COS(RADIANS($B$3))*SIN(RADIANS(Calcs!AH63)),COS(RADIANS(Calcs!AH63))*SIN(RADIANS(15*BH48))),360)</f>
        <v>147.41223070157372</v>
      </c>
      <c r="BJ48" s="64">
        <f>180/PI()*ASIN(SIN(RADIANS($B$3))*SIN(RADIANS(Calcs!AH63))+COS(RADIANS($B$3))*COS(RADIANS(Calcs!AH63))*COS(RADIANS(15*BH48)))</f>
        <v>-40.539153827684231</v>
      </c>
      <c r="BK48" s="35" t="e">
        <f t="shared" si="38"/>
        <v>#N/A</v>
      </c>
      <c r="BL48" s="47" t="e">
        <f t="shared" si="39"/>
        <v>#N/A</v>
      </c>
      <c r="BM48" s="3"/>
    </row>
    <row r="49" spans="43:66" x14ac:dyDescent="0.2">
      <c r="BF49" s="3"/>
      <c r="BG49" s="73">
        <v>210</v>
      </c>
      <c r="BH49" s="65">
        <f>$B$6 - Calcs!AG64/15</f>
        <v>-4.2973635563205193</v>
      </c>
      <c r="BI49" s="64">
        <f>MOD(-180/PI()*ATAN2(-SIN(RADIANS($B$3))*COS(RADIANS(Calcs!AH64))*COS(RADIANS(15*BH49))+COS(RADIANS($B$3))*SIN(RADIANS(Calcs!AH64)),COS(RADIANS(Calcs!AH64))*SIN(RADIANS(15*BH49))),360)</f>
        <v>144.1959298656229</v>
      </c>
      <c r="BJ49" s="64">
        <f>180/PI()*ASIN(SIN(RADIANS($B$3))*SIN(RADIANS(Calcs!AH64))+COS(RADIANS($B$3))*COS(RADIANS(Calcs!AH64))*COS(RADIANS(15*BH49)))</f>
        <v>-10.674229079185658</v>
      </c>
      <c r="BK49" s="35" t="e">
        <f t="shared" si="38"/>
        <v>#N/A</v>
      </c>
      <c r="BL49" s="47" t="e">
        <f t="shared" si="39"/>
        <v>#N/A</v>
      </c>
      <c r="BM49" s="3"/>
      <c r="BN49" s="3"/>
    </row>
    <row r="50" spans="43:66" x14ac:dyDescent="0.2">
      <c r="BF50" s="3"/>
      <c r="BG50" s="73">
        <v>240</v>
      </c>
      <c r="BH50" s="65">
        <f>$B$6 - Calcs!AG65/15</f>
        <v>-2.7271713560778492</v>
      </c>
      <c r="BI50" s="64">
        <f>MOD(-180/PI()*ATAN2(-SIN(RADIANS($B$3))*COS(RADIANS(Calcs!AH65))*COS(RADIANS(15*BH50))+COS(RADIANS($B$3))*SIN(RADIANS(Calcs!AH65)),COS(RADIANS(Calcs!AH65))*SIN(RADIANS(15*BH50))),360)</f>
        <v>141.60790617262882</v>
      </c>
      <c r="BJ50" s="64">
        <f>180/PI()*ASIN(SIN(RADIANS($B$3))*SIN(RADIANS(Calcs!AH65))+COS(RADIANS($B$3))*COS(RADIANS(Calcs!AH65))*COS(RADIANS(15*BH50)))</f>
        <v>19.217135079145166</v>
      </c>
      <c r="BK50" s="35">
        <f t="shared" si="38"/>
        <v>-0.48843293875316263</v>
      </c>
      <c r="BL50" s="47">
        <f t="shared" si="39"/>
        <v>-0.61642371666321993</v>
      </c>
      <c r="BM50" s="3"/>
      <c r="BN50" s="3"/>
    </row>
    <row r="51" spans="43:66" x14ac:dyDescent="0.2">
      <c r="BE51" s="1"/>
      <c r="BF51" s="1"/>
      <c r="BG51" s="73">
        <v>270</v>
      </c>
      <c r="BH51" s="65">
        <f>$B$6 - Calcs!AG66/15</f>
        <v>-1.7438379457529942</v>
      </c>
      <c r="BI51" s="64">
        <f>MOD(-180/PI()*ATAN2(-SIN(RADIANS($B$3))*COS(RADIANS(Calcs!AH66))*COS(RADIANS(15*BH51))+COS(RADIANS($B$3))*SIN(RADIANS(Calcs!AH66)),COS(RADIANS(Calcs!AH66))*SIN(RADIANS(15*BH51))),360)</f>
        <v>137.72550334643</v>
      </c>
      <c r="BJ51" s="64">
        <f>180/PI()*ASIN(SIN(RADIANS($B$3))*SIN(RADIANS(Calcs!AH66))+COS(RADIANS($B$3))*COS(RADIANS(Calcs!AH66))*COS(RADIANS(15*BH51)))</f>
        <v>49.053996495771358</v>
      </c>
      <c r="BK51" s="35">
        <f t="shared" si="38"/>
        <v>-0.30604099617233149</v>
      </c>
      <c r="BL51" s="47">
        <f t="shared" si="39"/>
        <v>-0.33663556202649902</v>
      </c>
      <c r="BM51" s="3"/>
      <c r="BN51" s="3"/>
    </row>
    <row r="52" spans="43:66" x14ac:dyDescent="0.2">
      <c r="BE52" s="1"/>
      <c r="BF52" s="1"/>
      <c r="BG52" s="73">
        <v>300</v>
      </c>
      <c r="BH52" s="65">
        <f>$B$6 - Calcs!AG67/15</f>
        <v>-0.76050453542813923</v>
      </c>
      <c r="BI52" s="64">
        <f>MOD(-180/PI()*ATAN2(-SIN(RADIANS($B$3))*COS(RADIANS(Calcs!AH67))*COS(RADIANS(15*BH52))+COS(RADIANS($B$3))*SIN(RADIANS(Calcs!AH67)),COS(RADIANS(Calcs!AH67))*SIN(RADIANS(15*BH52))),360)</f>
        <v>119.39537904478351</v>
      </c>
      <c r="BJ52" s="64">
        <f>180/PI()*ASIN(SIN(RADIANS($B$3))*SIN(RADIANS(Calcs!AH67))+COS(RADIANS($B$3))*COS(RADIANS(Calcs!AH67))*COS(RADIANS(15*BH52)))</f>
        <v>78.270026341771555</v>
      </c>
      <c r="BK52" s="35">
        <f t="shared" si="38"/>
        <v>-0.11355310481009354</v>
      </c>
      <c r="BL52" s="47">
        <f t="shared" si="39"/>
        <v>-6.3971820923559505E-2</v>
      </c>
      <c r="BM52" s="3"/>
      <c r="BN52" s="3"/>
    </row>
    <row r="53" spans="43:66" x14ac:dyDescent="0.2">
      <c r="BE53" s="1"/>
      <c r="BF53" s="1"/>
      <c r="BG53" s="73">
        <v>330</v>
      </c>
      <c r="BH53" s="65">
        <f>$B$6 - Calcs!AG68/15</f>
        <v>0.80968766481452992</v>
      </c>
      <c r="BI53" s="64">
        <f>MOD(-180/PI()*ATAN2(-SIN(RADIANS($B$3))*COS(RADIANS(Calcs!AH68))*COS(RADIANS(15*BH53))+COS(RADIANS($B$3))*SIN(RADIANS(Calcs!AH68)),COS(RADIANS(Calcs!AH68))*SIN(RADIANS(15*BH53))),360)</f>
        <v>336.75430099729277</v>
      </c>
      <c r="BJ53" s="64">
        <f>180/PI()*ASIN(SIN(RADIANS($B$3))*SIN(RADIANS(Calcs!AH68))+COS(RADIANS($B$3))*COS(RADIANS(Calcs!AH68))*COS(RADIANS(15*BH53)))</f>
        <v>70.144491428207303</v>
      </c>
      <c r="BK53" s="35">
        <f t="shared" si="38"/>
        <v>8.7071895085367904E-2</v>
      </c>
      <c r="BL53" s="47">
        <f t="shared" si="39"/>
        <v>0.20270727841241976</v>
      </c>
      <c r="BM53" s="3"/>
      <c r="BN53" s="3"/>
    </row>
    <row r="54" spans="43:66" x14ac:dyDescent="0.2">
      <c r="BE54" s="1"/>
      <c r="BF54" s="1"/>
      <c r="BG54" s="73">
        <v>360</v>
      </c>
      <c r="BH54" s="65">
        <f>$B$6 - Calcs!AG69/15</f>
        <v>4.256162054247004</v>
      </c>
      <c r="BI54" s="64">
        <f>MOD(-180/PI()*ATAN2(-SIN(RADIANS($B$3))*COS(RADIANS(Calcs!AH69))*COS(RADIANS(15*BH54))+COS(RADIANS($B$3))*SIN(RADIANS(Calcs!AH69)),COS(RADIANS(Calcs!AH69))*SIN(RADIANS(15*BH54))),360)</f>
        <v>327.41223070157378</v>
      </c>
      <c r="BJ54" s="64">
        <f>180/PI()*ASIN(SIN(RADIANS($B$3))*SIN(RADIANS(Calcs!AH69))+COS(RADIANS($B$3))*COS(RADIANS(Calcs!AH69))*COS(RADIANS(15*BH54)))</f>
        <v>40.539153827684245</v>
      </c>
      <c r="BK54" s="35">
        <f t="shared" si="38"/>
        <v>0.29599070581445414</v>
      </c>
      <c r="BL54" s="47">
        <f t="shared" si="39"/>
        <v>0.46304551023701396</v>
      </c>
      <c r="BM54" s="3"/>
      <c r="BN54" s="3"/>
    </row>
    <row r="55" spans="43:66" x14ac:dyDescent="0.2">
      <c r="BE55" s="1"/>
      <c r="BF55" s="1"/>
      <c r="BG55" s="6"/>
      <c r="BL55" s="14"/>
      <c r="BM55" s="3"/>
      <c r="BN55" s="3"/>
    </row>
    <row r="56" spans="43:66" ht="17" thickBot="1" x14ac:dyDescent="0.25">
      <c r="AQ56" s="1"/>
      <c r="AR56" s="1"/>
      <c r="AS56" s="1"/>
      <c r="BG56" s="74" t="s">
        <v>98</v>
      </c>
      <c r="BH56" s="32">
        <f>$B$6 - Calcs!AG70/15</f>
        <v>-12.647171279086326</v>
      </c>
      <c r="BI56" s="33">
        <f>MOD(-180/PI()*ATAN2(-SIN(RADIANS($B$3))*COS(RADIANS(Calcs!AH70))*COS(RADIANS(15*BH56))+COS(RADIANS($B$3))*SIN(RADIANS(Calcs!AH70)),COS(RADIANS(Calcs!AH70))*SIN(RADIANS(15*BH56))),360)</f>
        <v>291.95297813591958</v>
      </c>
      <c r="BJ56" s="33">
        <f>180/PI()*ASIN(SIN(RADIANS($B$3))*SIN(RADIANS(Calcs!AH70))+COS(RADIANS($B$3))*COS(RADIANS(Calcs!AH70))*COS(RADIANS(15*BH56)))</f>
        <v>-80.841793712394932</v>
      </c>
      <c r="BK56" s="48" t="e">
        <f>IF(BJ56&lt;0,NA(),(90-BJ56)/90*SIN(RADIANS(-BI56)))</f>
        <v>#N/A</v>
      </c>
      <c r="BL56" s="49" t="e">
        <f>IF(BJ56&lt;0,NA(),(90-BJ56)/90*COS(RADIANS(-BI56)))</f>
        <v>#N/A</v>
      </c>
      <c r="BM56" s="3"/>
    </row>
    <row r="57" spans="43:66" x14ac:dyDescent="0.2">
      <c r="AQ57" s="1"/>
      <c r="AR57" s="1"/>
      <c r="AS57" s="1"/>
    </row>
    <row r="58" spans="43:66" x14ac:dyDescent="0.2">
      <c r="AQ58" s="1"/>
      <c r="AR58" s="1"/>
      <c r="AS58" s="1"/>
    </row>
    <row r="59" spans="43:66" x14ac:dyDescent="0.2">
      <c r="AQ59" s="1"/>
      <c r="AR59" s="1"/>
      <c r="AS59" s="1"/>
    </row>
    <row r="60" spans="43:66" x14ac:dyDescent="0.2">
      <c r="AQ60" s="1"/>
      <c r="AR60" s="1"/>
      <c r="AS60" s="1"/>
    </row>
    <row r="61" spans="43:66" x14ac:dyDescent="0.2">
      <c r="AQ61" s="1"/>
      <c r="AR61" s="1"/>
      <c r="AS61" s="1"/>
    </row>
    <row r="62" spans="43:66" x14ac:dyDescent="0.2">
      <c r="AQ62" s="1"/>
      <c r="AR62" s="1"/>
      <c r="AS62" s="1"/>
    </row>
    <row r="64" spans="43:66" x14ac:dyDescent="0.2">
      <c r="AQ64" s="1"/>
      <c r="AR64" s="1"/>
      <c r="AS64" s="1"/>
      <c r="AT64" s="1"/>
    </row>
  </sheetData>
  <mergeCells count="13">
    <mergeCell ref="BQ42:BR42"/>
    <mergeCell ref="BQ44:BR44"/>
    <mergeCell ref="Y1:AB1"/>
    <mergeCell ref="BG1:BK1"/>
    <mergeCell ref="A2:C2"/>
    <mergeCell ref="BH40:BK40"/>
    <mergeCell ref="BO40:BR40"/>
    <mergeCell ref="A11:C11"/>
    <mergeCell ref="BQ41:BR41"/>
    <mergeCell ref="AH2:AI2"/>
    <mergeCell ref="AF1:AH1"/>
    <mergeCell ref="AK1:AM1"/>
    <mergeCell ref="AQ1:AT1"/>
  </mergeCells>
  <conditionalFormatting sqref="Y5:Y24">
    <cfRule type="colorScale" priority="8">
      <colorScale>
        <cfvo type="num" val="1"/>
        <cfvo type="num" val="2"/>
        <cfvo type="num" val="3"/>
        <color theme="5" tint="0.59999389629810485"/>
        <color theme="7" tint="0.79998168889431442"/>
        <color theme="9" tint="0.39997558519241921"/>
      </colorScale>
    </cfRule>
  </conditionalFormatting>
  <conditionalFormatting sqref="Z5:Z24">
    <cfRule type="containsText" dxfId="5" priority="7" operator="containsText" text="Done">
      <formula>NOT(ISERROR(SEARCH("Done",Z5)))</formula>
    </cfRule>
  </conditionalFormatting>
  <conditionalFormatting sqref="AE4">
    <cfRule type="colorScale" priority="10">
      <colorScale>
        <cfvo type="num" val="0"/>
        <cfvo type="num" val="5"/>
        <color rgb="FFFCFCFF"/>
        <color rgb="FFFFC000"/>
      </colorScale>
    </cfRule>
  </conditionalFormatting>
  <conditionalFormatting sqref="AE5:AE24">
    <cfRule type="colorScale" priority="9">
      <colorScale>
        <cfvo type="num" val="-90"/>
        <cfvo type="num" val="30"/>
        <cfvo type="num" val="45"/>
        <color rgb="FFF8696B"/>
        <color rgb="FFFF8497"/>
        <color rgb="FFFCFCFF"/>
      </colorScale>
    </cfRule>
  </conditionalFormatting>
  <conditionalFormatting sqref="AF5:AF24">
    <cfRule type="expression" dxfId="4" priority="35">
      <formula>AN5&lt;-1*AD5</formula>
    </cfRule>
    <cfRule type="colorScale" priority="36">
      <colorScale>
        <cfvo type="num" val="0"/>
        <cfvo type="num" val="0"/>
        <cfvo type="num" val="1"/>
        <color rgb="FFFF6B63"/>
        <color rgb="FFFFFF00"/>
        <color theme="0"/>
      </colorScale>
    </cfRule>
  </conditionalFormatting>
  <conditionalFormatting sqref="AG5:AG24">
    <cfRule type="colorScale" priority="3">
      <colorScale>
        <cfvo type="num" val="0"/>
        <cfvo type="num" val="45"/>
        <cfvo type="num" val="120"/>
        <color rgb="FFF8696B"/>
        <color rgb="FFFFB3C1"/>
        <color theme="0"/>
      </colorScale>
    </cfRule>
  </conditionalFormatting>
  <conditionalFormatting sqref="AH5:AH24">
    <cfRule type="colorScale" priority="2">
      <colorScale>
        <cfvo type="num" val="85"/>
        <cfvo type="num" val="350"/>
        <cfvo type="num" val="850"/>
        <color theme="0"/>
        <color rgb="FFFFA5AC"/>
        <color rgb="FFF8696B"/>
      </colorScale>
    </cfRule>
  </conditionalFormatting>
  <conditionalFormatting sqref="AI5:AI24">
    <cfRule type="colorScale" priority="1">
      <colorScale>
        <cfvo type="num" val="19"/>
        <cfvo type="num" val="20"/>
        <cfvo type="num" val="21.5"/>
        <color rgb="FFF8696B"/>
        <color rgb="FFFFAEB4"/>
        <color theme="0"/>
      </colorScale>
    </cfRule>
  </conditionalFormatting>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EF479-C2B7-9448-8117-D22443BC6A38}">
  <dimension ref="A1:BT64"/>
  <sheetViews>
    <sheetView topLeftCell="B1" zoomScale="120" zoomScaleNormal="130" workbookViewId="0">
      <selection activeCell="B9" sqref="B9"/>
    </sheetView>
  </sheetViews>
  <sheetFormatPr baseColWidth="10" defaultRowHeight="16" x14ac:dyDescent="0.2"/>
  <cols>
    <col min="1" max="1" width="11.5" customWidth="1"/>
    <col min="2" max="2" width="7" customWidth="1"/>
    <col min="3" max="3" width="8.5" customWidth="1"/>
    <col min="4" max="4" width="6" customWidth="1"/>
    <col min="5" max="5" width="11.6640625" customWidth="1"/>
    <col min="6" max="6" width="4.33203125" customWidth="1"/>
    <col min="7" max="7" width="5.83203125" customWidth="1"/>
    <col min="8" max="9" width="6.83203125" customWidth="1"/>
    <col min="10" max="10" width="6.5" customWidth="1"/>
    <col min="11" max="11" width="6.6640625" customWidth="1"/>
    <col min="12" max="12" width="5.83203125" customWidth="1"/>
    <col min="13" max="13" width="5.6640625" customWidth="1"/>
    <col min="14" max="14" width="5.1640625" customWidth="1"/>
    <col min="15" max="15" width="5.6640625" customWidth="1"/>
    <col min="16" max="16" width="7.1640625" customWidth="1"/>
    <col min="17" max="17" width="6" customWidth="1"/>
    <col min="18" max="18" width="6.33203125" customWidth="1"/>
    <col min="19" max="19" width="5.83203125" customWidth="1"/>
    <col min="20" max="20" width="6" customWidth="1"/>
    <col min="21" max="22" width="6.33203125" customWidth="1"/>
    <col min="23" max="23" width="20.1640625" customWidth="1"/>
    <col min="24" max="24" width="6.5" customWidth="1"/>
    <col min="25" max="25" width="6" customWidth="1"/>
    <col min="26" max="26" width="6.33203125" customWidth="1"/>
    <col min="27" max="27" width="6.83203125" customWidth="1"/>
    <col min="28" max="28" width="6.33203125" customWidth="1"/>
    <col min="29" max="30" width="6" customWidth="1"/>
    <col min="31" max="31" width="6.1640625" customWidth="1"/>
    <col min="32" max="32" width="7.6640625" customWidth="1"/>
    <col min="33" max="33" width="7" customWidth="1"/>
    <col min="34" max="41" width="7.33203125" customWidth="1"/>
    <col min="42" max="42" width="5.83203125" customWidth="1"/>
    <col min="43" max="43" width="5.5" customWidth="1"/>
    <col min="44" max="44" width="6" customWidth="1"/>
    <col min="45" max="45" width="5.5" customWidth="1"/>
    <col min="46" max="46" width="6" customWidth="1"/>
    <col min="47" max="47" width="5.6640625" customWidth="1"/>
    <col min="48" max="48" width="7.6640625" customWidth="1"/>
    <col min="49" max="49" width="7.1640625" customWidth="1"/>
    <col min="50" max="50" width="6" customWidth="1"/>
    <col min="51" max="51" width="6.5" customWidth="1"/>
    <col min="52" max="53" width="5.83203125" customWidth="1"/>
    <col min="54" max="54" width="5.1640625" customWidth="1"/>
    <col min="55" max="55" width="5.83203125" customWidth="1"/>
    <col min="56" max="56" width="6.1640625" customWidth="1"/>
    <col min="57" max="57" width="5.6640625" customWidth="1"/>
    <col min="58" max="58" width="5.5" customWidth="1"/>
    <col min="59" max="61" width="5.33203125" customWidth="1"/>
    <col min="62" max="62" width="5.5" customWidth="1"/>
    <col min="63" max="63" width="5.6640625" customWidth="1"/>
    <col min="64" max="65" width="5.5" customWidth="1"/>
    <col min="66" max="66" width="5" customWidth="1"/>
    <col min="67" max="67" width="5.5" customWidth="1"/>
    <col min="68" max="68" width="5.83203125" customWidth="1"/>
    <col min="69" max="69" width="5.6640625" customWidth="1"/>
    <col min="70" max="70" width="5.1640625" customWidth="1"/>
    <col min="71" max="71" width="5.5" customWidth="1"/>
    <col min="72" max="72" width="5.6640625" customWidth="1"/>
  </cols>
  <sheetData>
    <row r="1" spans="1:72" ht="17" thickBot="1" x14ac:dyDescent="0.25">
      <c r="X1" s="285" t="s">
        <v>36</v>
      </c>
      <c r="Y1" s="286"/>
      <c r="Z1" s="286"/>
      <c r="AA1" s="287"/>
      <c r="AF1" s="322" t="s">
        <v>249</v>
      </c>
      <c r="AG1" s="323"/>
      <c r="AH1" s="324"/>
      <c r="AK1" s="294" t="s">
        <v>255</v>
      </c>
      <c r="AL1" s="295"/>
      <c r="AM1" s="296"/>
      <c r="AQ1" s="291" t="s">
        <v>253</v>
      </c>
      <c r="AR1" s="292"/>
      <c r="AS1" s="292"/>
      <c r="AT1" s="293"/>
      <c r="BG1" s="291" t="s">
        <v>37</v>
      </c>
      <c r="BH1" s="292"/>
      <c r="BI1" s="292"/>
      <c r="BJ1" s="292"/>
      <c r="BK1" s="293"/>
    </row>
    <row r="2" spans="1:72" x14ac:dyDescent="0.2">
      <c r="A2" s="280" t="s">
        <v>148</v>
      </c>
      <c r="B2" s="281"/>
      <c r="C2" s="282"/>
      <c r="V2" s="23" t="s">
        <v>33</v>
      </c>
      <c r="W2" s="140" t="s">
        <v>117</v>
      </c>
      <c r="X2" s="140" t="s">
        <v>111</v>
      </c>
      <c r="Y2" s="140" t="s">
        <v>119</v>
      </c>
      <c r="Z2" s="140" t="s">
        <v>116</v>
      </c>
      <c r="AA2" s="140" t="s">
        <v>2</v>
      </c>
      <c r="AB2" s="140" t="s">
        <v>1</v>
      </c>
      <c r="AC2" s="140" t="s">
        <v>121</v>
      </c>
      <c r="AD2" s="140" t="s">
        <v>126</v>
      </c>
      <c r="AE2" s="141" t="s">
        <v>6</v>
      </c>
      <c r="AF2" s="141" t="s">
        <v>131</v>
      </c>
      <c r="AG2" s="141" t="s">
        <v>9</v>
      </c>
      <c r="AH2" s="283" t="s">
        <v>206</v>
      </c>
      <c r="AI2" s="284"/>
      <c r="AJ2" s="1"/>
      <c r="AK2" s="240" t="s">
        <v>254</v>
      </c>
      <c r="AL2" s="241" t="s">
        <v>251</v>
      </c>
      <c r="AM2" s="242" t="s">
        <v>252</v>
      </c>
      <c r="AN2" s="215" t="s">
        <v>0</v>
      </c>
      <c r="AO2" s="140" t="s">
        <v>5</v>
      </c>
      <c r="AP2" s="140" t="s">
        <v>10</v>
      </c>
      <c r="AQ2" s="142" t="s">
        <v>6</v>
      </c>
      <c r="AR2" s="140" t="s">
        <v>38</v>
      </c>
      <c r="AS2" s="143" t="s">
        <v>28</v>
      </c>
      <c r="AT2" s="142" t="s">
        <v>29</v>
      </c>
      <c r="AU2" s="140" t="s">
        <v>129</v>
      </c>
      <c r="AV2" s="143" t="s">
        <v>2</v>
      </c>
      <c r="AW2" s="210" t="s">
        <v>1</v>
      </c>
      <c r="AY2" s="12" t="s">
        <v>17</v>
      </c>
      <c r="AZ2" s="20">
        <v>0</v>
      </c>
      <c r="BA2" s="20">
        <v>1</v>
      </c>
      <c r="BB2" s="20">
        <v>2</v>
      </c>
      <c r="BC2" s="20">
        <v>3</v>
      </c>
      <c r="BD2" s="20">
        <v>4</v>
      </c>
      <c r="BE2" s="20">
        <v>5</v>
      </c>
      <c r="BF2" s="20">
        <v>6</v>
      </c>
      <c r="BG2" s="20">
        <v>7</v>
      </c>
      <c r="BH2" s="20">
        <v>8</v>
      </c>
      <c r="BI2" s="20">
        <v>9</v>
      </c>
      <c r="BJ2" s="20">
        <v>10</v>
      </c>
      <c r="BK2" s="20">
        <v>11</v>
      </c>
      <c r="BL2" s="20">
        <v>12</v>
      </c>
      <c r="BM2" s="20">
        <v>13</v>
      </c>
      <c r="BN2" s="20">
        <v>14</v>
      </c>
      <c r="BO2" s="20">
        <v>15</v>
      </c>
      <c r="BP2" s="20">
        <v>16</v>
      </c>
      <c r="BQ2" s="20">
        <v>17</v>
      </c>
      <c r="BR2" s="20">
        <v>18</v>
      </c>
      <c r="BS2" s="20">
        <v>19</v>
      </c>
      <c r="BT2" s="21">
        <v>20</v>
      </c>
    </row>
    <row r="3" spans="1:72" x14ac:dyDescent="0.2">
      <c r="A3" s="31" t="s">
        <v>7</v>
      </c>
      <c r="B3">
        <v>32.700000000000003</v>
      </c>
      <c r="C3" s="14" t="s">
        <v>4</v>
      </c>
      <c r="V3" s="24" t="s">
        <v>17</v>
      </c>
      <c r="W3" s="38"/>
      <c r="X3" s="38"/>
      <c r="Y3" s="38" t="s">
        <v>120</v>
      </c>
      <c r="Z3" s="38" t="s">
        <v>132</v>
      </c>
      <c r="AA3" s="38" t="s">
        <v>247</v>
      </c>
      <c r="AB3" s="38" t="s">
        <v>247</v>
      </c>
      <c r="AC3" s="38" t="s">
        <v>122</v>
      </c>
      <c r="AD3" s="38" t="s">
        <v>122</v>
      </c>
      <c r="AE3" s="101" t="s">
        <v>4</v>
      </c>
      <c r="AF3" s="101" t="s">
        <v>122</v>
      </c>
      <c r="AG3" s="101" t="s">
        <v>15</v>
      </c>
      <c r="AH3" s="101" t="s">
        <v>203</v>
      </c>
      <c r="AI3" s="218" t="s">
        <v>207</v>
      </c>
      <c r="AJ3" s="1"/>
      <c r="AK3" s="243" t="s">
        <v>4</v>
      </c>
      <c r="AL3" s="4" t="s">
        <v>17</v>
      </c>
      <c r="AM3" s="244" t="s">
        <v>122</v>
      </c>
      <c r="AN3" s="216" t="s">
        <v>122</v>
      </c>
      <c r="AO3" s="38" t="s">
        <v>123</v>
      </c>
      <c r="AP3" s="38" t="s">
        <v>25</v>
      </c>
      <c r="AQ3" s="39" t="s">
        <v>25</v>
      </c>
      <c r="AR3" s="38" t="s">
        <v>4</v>
      </c>
      <c r="AS3" s="63" t="s">
        <v>17</v>
      </c>
      <c r="AT3" s="39" t="s">
        <v>17</v>
      </c>
      <c r="AU3" s="38" t="s">
        <v>130</v>
      </c>
      <c r="AV3" s="63" t="s">
        <v>122</v>
      </c>
      <c r="AW3" s="211" t="s">
        <v>123</v>
      </c>
      <c r="AY3" s="13" t="s">
        <v>8</v>
      </c>
      <c r="AZ3" s="19" t="str">
        <f>W4</f>
        <v>Moon</v>
      </c>
      <c r="BA3" s="19" t="str">
        <f>W5</f>
        <v>N5474</v>
      </c>
      <c r="BB3" s="19" t="str">
        <f>W6</f>
        <v>N4826</v>
      </c>
      <c r="BC3" s="19" t="str">
        <f>W7</f>
        <v>N4236</v>
      </c>
      <c r="BD3" s="19" t="str">
        <f>W8</f>
        <v>N4449</v>
      </c>
      <c r="BE3" s="19" t="str">
        <f>W9</f>
        <v>N4605</v>
      </c>
      <c r="BF3" s="19" t="str">
        <f>W10</f>
        <v>SN95n</v>
      </c>
      <c r="BG3" s="19">
        <f>W11</f>
        <v>0</v>
      </c>
      <c r="BH3" s="19">
        <f>W12</f>
        <v>0</v>
      </c>
      <c r="BI3" s="19">
        <f>W13</f>
        <v>0</v>
      </c>
      <c r="BJ3" s="19">
        <f>W14</f>
        <v>0</v>
      </c>
      <c r="BK3" s="19">
        <f>W15</f>
        <v>0</v>
      </c>
      <c r="BL3" s="19">
        <f>W16</f>
        <v>0</v>
      </c>
      <c r="BM3" s="19">
        <f>W17</f>
        <v>0</v>
      </c>
      <c r="BN3" s="19">
        <f>W18</f>
        <v>0</v>
      </c>
      <c r="BO3" s="19">
        <f>W19</f>
        <v>0</v>
      </c>
      <c r="BP3" s="19">
        <f>W20</f>
        <v>0</v>
      </c>
      <c r="BQ3" s="19">
        <f>W21</f>
        <v>0</v>
      </c>
      <c r="BR3" s="19">
        <f>W22</f>
        <v>0</v>
      </c>
      <c r="BS3" s="19">
        <f>W23</f>
        <v>0</v>
      </c>
      <c r="BT3" s="22">
        <f>W24</f>
        <v>0</v>
      </c>
    </row>
    <row r="4" spans="1:72" x14ac:dyDescent="0.2">
      <c r="A4" s="6"/>
      <c r="C4" s="14"/>
      <c r="P4" s="3"/>
      <c r="V4" s="24">
        <v>0</v>
      </c>
      <c r="W4" s="229" t="s">
        <v>9</v>
      </c>
      <c r="X4" s="229"/>
      <c r="Y4" s="229"/>
      <c r="Z4" s="229"/>
      <c r="AC4" s="229"/>
      <c r="AD4" s="229"/>
      <c r="AE4" s="18">
        <f t="shared" ref="AE4:AE24" si="0">IF(OR(W4="",Z4&lt;&gt;""),NA(),180/PI()*ASIN(SIN(RADIANS($B$3))*SIN(RADIANS(AW4)) + COS(RADIANS($B$3))*COS(RADIANS(AW4))*COS(RADIANS(15*AN4))))</f>
        <v>-56.900681184640575</v>
      </c>
      <c r="AF4" s="64">
        <v>0</v>
      </c>
      <c r="AG4" s="18">
        <f>IF(OR(W4="",Z4&lt;&gt;""),NA(),180/PI()*ACOS(SIN(RADIANS(AW4))*SIN(RADIANS($AW$4))+COS(RADIANS(AW4))*COS(RADIANS($AW$4))*COS(RADIANS(15*(AN4-$AN$4)))))</f>
        <v>0</v>
      </c>
      <c r="AH4" s="64">
        <v>0</v>
      </c>
      <c r="AI4" s="232">
        <v>0</v>
      </c>
      <c r="AJ4" s="64"/>
      <c r="AK4" s="245"/>
      <c r="AL4" s="46"/>
      <c r="AM4" s="220"/>
      <c r="AN4" s="68">
        <f t="shared" ref="AN4:AN24" si="1">IF(OR(W4="",Z4&lt;&gt;""),NA(),IF($B$6-AV4&gt;12,($B$6-AV4)-24,IF($B$6-AV4&lt;-12,$B$6-AV4+24,$B$6-AV4)))</f>
        <v>-9.9881561489676809</v>
      </c>
      <c r="AO4" s="64">
        <f t="shared" ref="AO4:AO24" si="2">IF(OR(W4="",Z4&lt;&gt;""),NA(),MOD(-180/PI()*ATAN2(-SIN(RADIANS($B$3))*COS(RADIANS(AW4))*COS(RADIANS(15*AN4)) + COS(RADIANS($B$3))*SIN(RADIANS(AW4)),COS(RADIANS(AW4))*SIN(RADIANS(15*AN4))),360))</f>
        <v>63.177143915567513</v>
      </c>
      <c r="AP4" s="65">
        <f t="shared" ref="AP4:AP24" si="3">IF(OR(W4="",Z4&lt;&gt;""),NA(),MOD(AV4-$B$5,24))</f>
        <v>18.988156148967683</v>
      </c>
      <c r="AQ4" s="64">
        <f t="shared" ref="AQ4:AQ24" si="4">IF(OR(W4="",Z4&lt;&gt;""),NA(),180/PI()*ASIN(SIN(RADIANS($B$3))*SIN(RADIANS(AW4)) + COS(RADIANS($B$3))*COS(RADIANS(AW4))))</f>
        <v>43.105636220368886</v>
      </c>
      <c r="AR4" s="64">
        <f t="shared" ref="AR4:AR24" si="5">IF(OR(W4="",Z4&lt;&gt;""),NA(),180/PI()*ATAN2(TAN(RADIANS($B$3))*COS(RADIANS(AW4)) - SIN(RADIANS(AW4))*COS(RADIANS(15*AN4)),SIN(RADIANS(15*AN4))))</f>
        <v>-50.770474415593718</v>
      </c>
      <c r="AS4" s="35" t="e">
        <f t="shared" ref="AS4:AS24" si="6">IF(OR(W4="",Z4&lt;&gt;"",AE4&lt;0),NA(),(90-AE4)/90*SIN(RADIANS(-AO4)))</f>
        <v>#N/A</v>
      </c>
      <c r="AT4" s="35" t="e">
        <f t="shared" ref="AT4:AT24" si="7">IF(OR(W4="",Z4&lt;&gt;"",AE4&lt;0),NA(),(90-AE4)/90*COS(RADIANS(AO4)))</f>
        <v>#N/A</v>
      </c>
      <c r="AU4" t="e">
        <f>NA()</f>
        <v>#N/A</v>
      </c>
      <c r="AV4" s="227">
        <f>Calcs!B55</f>
        <v>22.134318203214686</v>
      </c>
      <c r="AW4" s="228">
        <f>Calcs!B56</f>
        <v>-14.194363779631127</v>
      </c>
      <c r="AY4" s="13" t="s">
        <v>10</v>
      </c>
      <c r="AZ4" s="19">
        <f>Y4</f>
        <v>0</v>
      </c>
      <c r="BA4" s="19">
        <f>Y5</f>
        <v>1</v>
      </c>
      <c r="BB4" s="19">
        <f>Y6</f>
        <v>1</v>
      </c>
      <c r="BC4" s="19">
        <f>Y7</f>
        <v>1</v>
      </c>
      <c r="BD4" s="19">
        <f>Y8</f>
        <v>2</v>
      </c>
      <c r="BE4" s="19">
        <f>Y9</f>
        <v>2</v>
      </c>
      <c r="BF4" s="19">
        <f>Y10</f>
        <v>2</v>
      </c>
      <c r="BG4" s="19">
        <f>Y11</f>
        <v>0</v>
      </c>
      <c r="BH4" s="19">
        <f>Y12</f>
        <v>0</v>
      </c>
      <c r="BI4" s="19">
        <f>Y13</f>
        <v>0</v>
      </c>
      <c r="BJ4" s="19">
        <f>Y14</f>
        <v>0</v>
      </c>
      <c r="BK4" s="19">
        <f>Y15</f>
        <v>0</v>
      </c>
      <c r="BL4" s="19">
        <f>Y16</f>
        <v>0</v>
      </c>
      <c r="BM4" s="19">
        <f>Y17</f>
        <v>0</v>
      </c>
      <c r="BN4" s="19">
        <f>Y18</f>
        <v>0</v>
      </c>
      <c r="BO4" s="19">
        <f>Y19</f>
        <v>0</v>
      </c>
      <c r="BP4" s="19">
        <f>Y20</f>
        <v>0</v>
      </c>
      <c r="BQ4" s="19">
        <f>Y21</f>
        <v>0</v>
      </c>
      <c r="BR4" s="19">
        <f>Y22</f>
        <v>0</v>
      </c>
      <c r="BS4" s="19">
        <f>Y23</f>
        <v>0</v>
      </c>
      <c r="BT4" s="22">
        <f>Y24</f>
        <v>0</v>
      </c>
    </row>
    <row r="5" spans="1:72" x14ac:dyDescent="0.2">
      <c r="A5" s="31" t="s">
        <v>102</v>
      </c>
      <c r="B5" s="16">
        <f>Calcs!B23</f>
        <v>3.1461620542470055</v>
      </c>
      <c r="C5" s="14" t="s">
        <v>3</v>
      </c>
      <c r="P5" s="3"/>
      <c r="V5" s="24">
        <v>1</v>
      </c>
      <c r="W5" s="5" t="s">
        <v>291</v>
      </c>
      <c r="X5" s="5" t="s">
        <v>112</v>
      </c>
      <c r="Y5" s="5">
        <v>1</v>
      </c>
      <c r="Z5" s="5"/>
      <c r="AA5" s="95">
        <v>14.05</v>
      </c>
      <c r="AB5" s="159">
        <v>53.39</v>
      </c>
      <c r="AC5" s="95">
        <v>0.66</v>
      </c>
      <c r="AD5" s="34">
        <v>3.8</v>
      </c>
      <c r="AE5" s="18">
        <f t="shared" si="0"/>
        <v>60.588212459251345</v>
      </c>
      <c r="AF5" s="96">
        <f t="shared" ref="AF5:AF24" si="8">IF(OR(W5="",Z5&lt;&gt;""),NA(),AP5+AD5-AC5  -  $B$7)</f>
        <v>5.077171279086329</v>
      </c>
      <c r="AG5" s="18" t="e">
        <f t="shared" ref="AG5:AG24" si="9">IF(OR(W5="",Z5&lt;&gt;"",$AE$4&lt;0),NA(),180/PI()*ACOS(SIN(RADIANS(AW5))*SIN(RADIANS($AW$4))+COS(RADIANS(AW5))*COS(RADIANS($AW$4))*COS(RADIANS(15*(AN5-$AN$4)))))</f>
        <v>#N/A</v>
      </c>
      <c r="AH5" s="18" t="e">
        <f>IF(OR($AE$4&lt;0,AE5&lt;0),NA(),  Calcs!$B$62*10^(-0.4*Calcs!$B$63*_xlfn.SEC(RADIANS(90-$AE$4)))  *  (1 - 10^(-0.4*Calcs!$B$63*_xlfn.SEC(RADIANS(90-AE5))))  *  (  10^5.36 * (1.06+ (COS(RADIANS(AG5))^2)) + 10^(6.15 - AG5/40) )  )</f>
        <v>#N/A</v>
      </c>
      <c r="AI5" s="220" t="e">
        <f t="shared" ref="AI5:AI24" si="10">IF(OR($AE$4&lt;0,AE5&lt;0),NA(),  22.5 - 1.086* LN(AH5/34.08) )</f>
        <v>#N/A</v>
      </c>
      <c r="AJ5" s="65"/>
      <c r="AK5" s="238">
        <v>45</v>
      </c>
      <c r="AL5" s="46">
        <f>IF(AK5="",NA(),1/SIN(RADIANS(AK5)))</f>
        <v>1.4142135623730951</v>
      </c>
      <c r="AM5" s="220">
        <f t="shared" ref="AM5:AM24" si="11">IF(AK5="",NA(),180/PI()/15*ACOS( (SIN(RADIANS(AK5)) - SIN(RADIANS($B$3))*SIN(RADIANS(AW5)))/(COS(RADIANS($B$3))*COS(RADIANS(AW5))) ))</f>
        <v>3.7969163965044821</v>
      </c>
      <c r="AN5" s="68">
        <f t="shared" si="1"/>
        <v>-1.9371712790863285</v>
      </c>
      <c r="AO5" s="64">
        <f t="shared" si="2"/>
        <v>35.888159998770796</v>
      </c>
      <c r="AP5" s="65">
        <f t="shared" si="3"/>
        <v>10.937171279086328</v>
      </c>
      <c r="AQ5" s="64">
        <f t="shared" si="4"/>
        <v>69.05</v>
      </c>
      <c r="AR5" s="64">
        <f t="shared" si="5"/>
        <v>-123.66774601301644</v>
      </c>
      <c r="AS5" s="35">
        <f t="shared" si="6"/>
        <v>-0.19157039433307818</v>
      </c>
      <c r="AT5" s="35">
        <f t="shared" si="7"/>
        <v>0.2647592889670638</v>
      </c>
      <c r="AU5">
        <f t="shared" ref="AU5:AU24" si="12">IF(OR(AN5&lt;-1*AD5,AF5&lt;0,AE5&lt;30),NA(),AF5)</f>
        <v>5.077171279086329</v>
      </c>
      <c r="AV5" s="35">
        <f t="shared" ref="AV5:AV24" si="13">IF(AA5="",NA(),INT(AA5) + 100*MOD(AA5,1)/60)</f>
        <v>14.083333333333334</v>
      </c>
      <c r="AW5" s="47">
        <f t="shared" ref="AW5:AW24" si="14">IF(AB5="",NA(),IF(AB5&gt;0,INT(AB5) + 100*MOD(AB5,1)/60,-INT(-AB5) - 100*MOD(-AB5,1)/60))</f>
        <v>53.65</v>
      </c>
      <c r="AY5" s="29">
        <f>INT($B$16)-8</f>
        <v>-1</v>
      </c>
      <c r="AZ5" s="3">
        <f t="shared" ref="AZ5:AZ37" si="15">180/PI()*ASIN(SIN(RADIANS($B$3))*SIN(RADIANS($AW$4)) + COS(RADIANS($B$3))*COS(RADIANS($AW$4))*COS(RADIANS(15*(AY5+$B$5-$AV$4))))</f>
        <v>15.857360496757829</v>
      </c>
      <c r="BA5" s="3">
        <f t="shared" ref="BA5:BA37" si="16">IF(OR($W$5="",$Z$5&lt;&gt;""),NA(),180/PI()*ASIN(SIN(RADIANS($B$3))*SIN(RADIANS($AW$5)) + COS(RADIANS($B$3))*COS(RADIANS($AW$5))*COS(RADIANS(15*(AY5+$B$5-$AV$5)))))</f>
        <v>-3.6461263180346104</v>
      </c>
      <c r="BB5" s="3">
        <f t="shared" ref="BB5:BB37" si="17">IF(OR($W$6="",$Z$6&lt;&gt;""),NA(),180/PI()*ASIN(SIN(RADIANS($B$3))*SIN(RADIANS($AW$6)) + COS(RADIANS($B$3))*COS(RADIANS($AW$6))*COS(RADIANS(15*(AY5+$B$5-$AV$6)))))</f>
        <v>-32.90662932617645</v>
      </c>
      <c r="BC5" s="3">
        <f t="shared" ref="BC5:BC37" si="18">IF(OR($W$7="",$Z$7&lt;&gt;""),NA(),180/PI()*ASIN(SIN(RADIANS($B$3))*SIN(RADIANS($AW$7)) + COS(RADIANS($B$3))*COS(RADIANS($AW$7))*COS(RADIANS(15*(AY5+$B$5-$AV$7)))))</f>
        <v>14.212283471296226</v>
      </c>
      <c r="BD5" s="3">
        <f t="shared" ref="BD5:BD37" si="19">IF(OR($W$8="",$Z$8&lt;&gt;""),NA(),180/PI()*ASIN(SIN(RADIANS($B$3))*SIN(RADIANS($AW$8)) + COS(RADIANS($B$3))*COS(RADIANS($AW$8))*COS(RADIANS(15*(AY5+$B$5-$AV$8)))))</f>
        <v>-9.8539790374321203</v>
      </c>
      <c r="BE5" s="3">
        <f t="shared" ref="BE5:BE37" si="20">IF(OR($W$9="",$Z$9&lt;&gt;""),NA(),180/PI()*ASIN(SIN(RADIANS($B$3))*SIN(RADIANS($AW$9)) + COS(RADIANS($B$3))*COS(RADIANS($AW$9))*COS(RADIANS(15*(AY5+$B$5-$AV$9)))))</f>
        <v>6.0057646590334919</v>
      </c>
      <c r="BF5" s="3">
        <f t="shared" ref="BF5:BF37" si="21">IF(OR($W$10="",$Z$10&lt;&gt;""),NA(),180/PI()*ASIN(SIN(RADIANS($B$3))*SIN(RADIANS($AW$10)) + COS(RADIANS($B$3))*COS(RADIANS($AW$10))*COS(RADIANS(15*(AY5+$B$5-$AV$10)))))</f>
        <v>-65.633925510296663</v>
      </c>
      <c r="BG5" s="3" t="e">
        <f t="shared" ref="BG5:BG37" si="22">IF(OR($W$11="",$Z$11&lt;&gt;""),NA(),180/PI()*ASIN(SIN(RADIANS($B$3))*SIN(RADIANS($AW$11)) + COS(RADIANS($B$3))*COS(RADIANS($AW$11))*COS(RADIANS(15*(AY5+$B$5-$AV$11)))))</f>
        <v>#N/A</v>
      </c>
      <c r="BH5" s="3" t="e">
        <f t="shared" ref="BH5:BH37" si="23">IF(OR($W$12="",$Z$12&lt;&gt;""),NA(),180/PI()*ASIN(SIN(RADIANS($B$3))*SIN(RADIANS($AW$12)) + COS(RADIANS($B$3))*COS(RADIANS($AW$12))*COS(RADIANS(15*(AY5+$B$5-$AV$12)))))</f>
        <v>#N/A</v>
      </c>
      <c r="BI5" s="3" t="e">
        <f t="shared" ref="BI5:BI37" si="24">IF(OR($W$13="",$Z$13&lt;&gt;""),NA(),180/PI()*ASIN(SIN(RADIANS($B$3))*SIN(RADIANS($AW$13)) + COS(RADIANS($B$3))*COS(RADIANS($AW$13))*COS(RADIANS(15*(AY5+$B$5-$AV$13)))))</f>
        <v>#N/A</v>
      </c>
      <c r="BJ5" s="3" t="e">
        <f t="shared" ref="BJ5:BJ37" si="25">IF(OR($W$14="",$Z$14&lt;&gt;""),NA(),180/PI()*ASIN(SIN(RADIANS($B$3))*SIN(RADIANS($AW$14)) + COS(RADIANS($B$3))*COS(RADIANS($AW$14))*COS(RADIANS(15*(AY5+$B$5-$AV$14)))))</f>
        <v>#N/A</v>
      </c>
      <c r="BK5" s="3" t="e">
        <f t="shared" ref="BK5:BK37" si="26">IF(OR($W$15="",$Z$15&lt;&gt;""),NA(),180/PI()*ASIN(SIN(RADIANS($B$3))*SIN(RADIANS($AW$15)) + COS(RADIANS($B$3))*COS(RADIANS($AW$15))*COS(RADIANS(15*(AY5+$B$5-$AV$15)))))</f>
        <v>#N/A</v>
      </c>
      <c r="BL5" s="3" t="e">
        <f t="shared" ref="BL5:BL37" si="27">IF(OR($W$16="",$Z$16&lt;&gt;""),NA(),180/PI()*ASIN(SIN(RADIANS($B$3))*SIN(RADIANS($AW$16)) + COS(RADIANS($B$3))*COS(RADIANS($AW$16))*COS(RADIANS(15*(AY5+$B$5-$AV$16)))))</f>
        <v>#N/A</v>
      </c>
      <c r="BM5" s="3" t="e">
        <f t="shared" ref="BM5:BM37" si="28">IF(OR($W$17="",$Z$17&lt;&gt;""),NA(),180/PI()*ASIN(SIN(RADIANS($B$3))*SIN(RADIANS($AW$17)) + COS(RADIANS($B$3))*COS(RADIANS($AW$17))*COS(RADIANS(15*(AY5+$B$5-$AV$17)))))</f>
        <v>#N/A</v>
      </c>
      <c r="BN5" s="3" t="e">
        <f t="shared" ref="BN5:BN37" si="29">IF(OR($W$18="",$Z$18&lt;&gt;""),NA(),180/PI()*ASIN(SIN(RADIANS($B$3))*SIN(RADIANS($AW$18)) + COS(RADIANS($B$3))*COS(RADIANS($AW$18))*COS(RADIANS(15*(AY5+$B$5-$AV$18)))))</f>
        <v>#N/A</v>
      </c>
      <c r="BO5" s="3" t="e">
        <f t="shared" ref="BO5:BO37" si="30">IF(OR($W$19="",$Z$19&lt;&gt;""),NA(),180/PI()*ASIN(SIN(RADIANS($B$3))*SIN(RADIANS($AW$19)) + COS(RADIANS($B$3))*COS(RADIANS($AW$19))*COS(RADIANS(15*(AY5+$B$5-$AV$19)))))</f>
        <v>#N/A</v>
      </c>
      <c r="BP5" s="3" t="e">
        <f t="shared" ref="BP5:BP37" si="31">IF(OR($W$20="",$Z$20&lt;&gt;""),NA(),180/PI()*ASIN(SIN(RADIANS($B$3))*SIN(RADIANS($AW$20)) + COS(RADIANS($B$3))*COS(RADIANS($AW$20))*COS(RADIANS(15*(AY5+$B$5-$AV$20)))))</f>
        <v>#N/A</v>
      </c>
      <c r="BQ5" s="3" t="e">
        <f t="shared" ref="BQ5:BQ37" si="32">IF(OR($W$21="",$Z$21&lt;&gt;""),NA(),180/PI()*ASIN(SIN(RADIANS($B$3))*SIN(RADIANS($AW$21)) + COS(RADIANS($B$3))*COS(RADIANS($AW$21))*COS(RADIANS(15*(AY5+$B$5-$AV$21)))))</f>
        <v>#N/A</v>
      </c>
      <c r="BR5" s="3" t="e">
        <f t="shared" ref="BR5:BR37" si="33">IF(OR($W$22="",$Z$22&lt;&gt;""),NA(),180/PI()*ASIN(SIN(RADIANS($B$3))*SIN(RADIANS($AW$22)) + COS(RADIANS($B$3))*COS(RADIANS($AW$22))*COS(RADIANS(15*(AY5+$B$5-$AV$22)))))</f>
        <v>#N/A</v>
      </c>
      <c r="BS5" s="3" t="e">
        <f t="shared" ref="BS5:BS37" si="34">IF(OR($W$23="",$Z$23&lt;&gt;""),NA(),180/PI()*ASIN(SIN(RADIANS($B$3))*SIN(RADIANS($AW$23)) + COS(RADIANS($B$3))*COS(RADIANS($AW$23))*COS(RADIANS(15*(AY5+$B$5-$AV$23)))))</f>
        <v>#N/A</v>
      </c>
      <c r="BT5" s="7" t="e">
        <f t="shared" ref="BT5:BT37" si="35">IF(OR($W$24="",$Z$24&lt;&gt;""),NA(),180/PI()*ASIN(SIN(RADIANS($B$3))*SIN(RADIANS($AW$24)) + COS(RADIANS($B$3))*COS(RADIANS($AW$24))*COS(RADIANS(15*(AY5+$B$5-$AV$24)))))</f>
        <v>#N/A</v>
      </c>
    </row>
    <row r="6" spans="1:72" x14ac:dyDescent="0.2">
      <c r="A6" s="31" t="s">
        <v>42</v>
      </c>
      <c r="B6" s="42">
        <f>MOD(B7+B5,24)</f>
        <v>12.146162054247005</v>
      </c>
      <c r="C6" s="14" t="s">
        <v>3</v>
      </c>
      <c r="P6" s="3"/>
      <c r="V6" s="24">
        <v>2</v>
      </c>
      <c r="W6" s="5" t="s">
        <v>292</v>
      </c>
      <c r="X6" s="5" t="s">
        <v>112</v>
      </c>
      <c r="Y6" s="5">
        <v>1</v>
      </c>
      <c r="Z6" s="5"/>
      <c r="AA6" s="95">
        <v>12.56</v>
      </c>
      <c r="AB6" s="159">
        <v>21.41</v>
      </c>
      <c r="AC6" s="95">
        <v>0.7</v>
      </c>
      <c r="AD6" s="34">
        <v>3.3</v>
      </c>
      <c r="AE6" s="18">
        <f t="shared" si="0"/>
        <v>74.801975084918297</v>
      </c>
      <c r="AF6" s="96">
        <f t="shared" si="8"/>
        <v>3.3871712790863278</v>
      </c>
      <c r="AG6" s="18" t="e">
        <f t="shared" si="9"/>
        <v>#N/A</v>
      </c>
      <c r="AH6" s="18" t="e">
        <f>IF(OR($AE$4&lt;0,AE6&lt;0),NA(),  Calcs!$B$62*10^(-0.4*Calcs!$B$63*_xlfn.SEC(RADIANS(90-$AE$4)))  *  (1 - 10^(-0.4*Calcs!$B$63*_xlfn.SEC(RADIANS(90-AE6))))  *  (  10^5.36 * (1.06+ (COS(RADIANS(AG6))^2)) + 10^(6.15 - AG6/40) )  )</f>
        <v>#N/A</v>
      </c>
      <c r="AI6" s="220" t="e">
        <f t="shared" si="10"/>
        <v>#N/A</v>
      </c>
      <c r="AJ6" s="65"/>
      <c r="AK6" s="238">
        <v>45</v>
      </c>
      <c r="AL6" s="46">
        <f t="shared" ref="AL6:AL24" si="36">IF(AK6="",NA(),1/SIN(RADIANS(AK6)))</f>
        <v>1.4142135623730951</v>
      </c>
      <c r="AM6" s="220">
        <f t="shared" si="11"/>
        <v>3.3022176595163937</v>
      </c>
      <c r="AN6" s="68">
        <f t="shared" si="1"/>
        <v>-0.78717127908632811</v>
      </c>
      <c r="AO6" s="64">
        <f t="shared" si="2"/>
        <v>133.50479023955799</v>
      </c>
      <c r="AP6" s="65">
        <f t="shared" si="3"/>
        <v>9.7871712790863281</v>
      </c>
      <c r="AQ6" s="64">
        <f t="shared" si="4"/>
        <v>78.98333333333332</v>
      </c>
      <c r="AR6" s="64">
        <f t="shared" si="5"/>
        <v>-41.059305068692133</v>
      </c>
      <c r="AS6" s="35">
        <f t="shared" si="6"/>
        <v>-0.12248203417301903</v>
      </c>
      <c r="AT6" s="35">
        <f t="shared" si="7"/>
        <v>-0.11625057381440397</v>
      </c>
      <c r="AU6">
        <f t="shared" si="12"/>
        <v>3.3871712790863278</v>
      </c>
      <c r="AV6" s="35">
        <f t="shared" si="13"/>
        <v>12.933333333333334</v>
      </c>
      <c r="AW6" s="47">
        <f t="shared" si="14"/>
        <v>21.683333333333334</v>
      </c>
      <c r="AY6" s="29">
        <f t="shared" ref="AY6:AY37" si="37">AY5+0.5</f>
        <v>-0.5</v>
      </c>
      <c r="AZ6" s="3">
        <f t="shared" si="15"/>
        <v>10.217680608668887</v>
      </c>
      <c r="BA6" s="3">
        <f t="shared" si="16"/>
        <v>-3.3397498719300343</v>
      </c>
      <c r="BB6" s="3">
        <f t="shared" si="17"/>
        <v>-30.334664729386894</v>
      </c>
      <c r="BC6" s="3">
        <f t="shared" si="18"/>
        <v>15.423874980062543</v>
      </c>
      <c r="BD6" s="3">
        <f t="shared" si="19"/>
        <v>-7.6356682469552402</v>
      </c>
      <c r="BE6" s="3">
        <f t="shared" si="20"/>
        <v>7.3269897413929144</v>
      </c>
      <c r="BF6" s="3">
        <f t="shared" si="21"/>
        <v>-67.343626970536704</v>
      </c>
      <c r="BG6" s="3" t="e">
        <f t="shared" si="22"/>
        <v>#N/A</v>
      </c>
      <c r="BH6" s="3" t="e">
        <f t="shared" si="23"/>
        <v>#N/A</v>
      </c>
      <c r="BI6" s="3" t="e">
        <f t="shared" si="24"/>
        <v>#N/A</v>
      </c>
      <c r="BJ6" s="3" t="e">
        <f t="shared" si="25"/>
        <v>#N/A</v>
      </c>
      <c r="BK6" s="3" t="e">
        <f t="shared" si="26"/>
        <v>#N/A</v>
      </c>
      <c r="BL6" s="3" t="e">
        <f t="shared" si="27"/>
        <v>#N/A</v>
      </c>
      <c r="BM6" s="3" t="e">
        <f t="shared" si="28"/>
        <v>#N/A</v>
      </c>
      <c r="BN6" s="3" t="e">
        <f t="shared" si="29"/>
        <v>#N/A</v>
      </c>
      <c r="BO6" s="3" t="e">
        <f t="shared" si="30"/>
        <v>#N/A</v>
      </c>
      <c r="BP6" s="3" t="e">
        <f t="shared" si="31"/>
        <v>#N/A</v>
      </c>
      <c r="BQ6" s="3" t="e">
        <f t="shared" si="32"/>
        <v>#N/A</v>
      </c>
      <c r="BR6" s="3" t="e">
        <f t="shared" si="33"/>
        <v>#N/A</v>
      </c>
      <c r="BS6" s="3" t="e">
        <f t="shared" si="34"/>
        <v>#N/A</v>
      </c>
      <c r="BT6" s="7" t="e">
        <f t="shared" si="35"/>
        <v>#N/A</v>
      </c>
    </row>
    <row r="7" spans="1:72" ht="17" thickBot="1" x14ac:dyDescent="0.25">
      <c r="A7" s="31" t="s">
        <v>35</v>
      </c>
      <c r="B7" s="16">
        <f>INT(B8) + 100*MOD(B8,1)/60</f>
        <v>9</v>
      </c>
      <c r="C7" s="14" t="s">
        <v>3</v>
      </c>
      <c r="P7" s="3"/>
      <c r="V7" s="24">
        <v>3</v>
      </c>
      <c r="W7" s="5" t="s">
        <v>293</v>
      </c>
      <c r="X7" s="5" t="s">
        <v>112</v>
      </c>
      <c r="Y7" s="5">
        <v>1</v>
      </c>
      <c r="Z7" s="5"/>
      <c r="AA7" s="95">
        <v>12.16</v>
      </c>
      <c r="AB7" s="159">
        <v>69.27</v>
      </c>
      <c r="AC7" s="95">
        <v>0.27</v>
      </c>
      <c r="AD7" s="34">
        <v>3.1</v>
      </c>
      <c r="AE7" s="18">
        <f t="shared" si="0"/>
        <v>53.235926885126368</v>
      </c>
      <c r="AF7" s="96">
        <f t="shared" si="8"/>
        <v>2.9505046124196621</v>
      </c>
      <c r="AG7" s="18" t="e">
        <f t="shared" si="9"/>
        <v>#N/A</v>
      </c>
      <c r="AH7" s="18" t="e">
        <f>IF(OR($AE$4&lt;0,AE7&lt;0),NA(),  Calcs!$B$62*10^(-0.4*Calcs!$B$63*_xlfn.SEC(RADIANS(90-$AE$4)))  *  (1 - 10^(-0.4*Calcs!$B$63*_xlfn.SEC(RADIANS(90-AE7))))  *  (  10^5.36 * (1.06+ (COS(RADIANS(AG7))^2)) + 10^(6.15 - AG7/40) )  )</f>
        <v>#N/A</v>
      </c>
      <c r="AI7" s="220" t="e">
        <f t="shared" si="10"/>
        <v>#N/A</v>
      </c>
      <c r="AJ7" s="65"/>
      <c r="AK7" s="238">
        <v>45</v>
      </c>
      <c r="AL7" s="46">
        <f t="shared" si="36"/>
        <v>1.4142135623730951</v>
      </c>
      <c r="AM7" s="220">
        <f t="shared" si="11"/>
        <v>3.1370835355040656</v>
      </c>
      <c r="AN7" s="68">
        <f t="shared" si="1"/>
        <v>-0.12050461241966204</v>
      </c>
      <c r="AO7" s="64">
        <f t="shared" si="2"/>
        <v>1.0599993506722116</v>
      </c>
      <c r="AP7" s="65">
        <f t="shared" si="3"/>
        <v>9.120504612419662</v>
      </c>
      <c r="AQ7" s="64">
        <f t="shared" si="4"/>
        <v>53.25</v>
      </c>
      <c r="AR7" s="64">
        <f t="shared" si="5"/>
        <v>-177.45817667275551</v>
      </c>
      <c r="AS7" s="35">
        <f t="shared" si="6"/>
        <v>-7.5568239398943679E-3</v>
      </c>
      <c r="AT7" s="35">
        <f t="shared" si="7"/>
        <v>0.40841979685221241</v>
      </c>
      <c r="AU7">
        <f t="shared" si="12"/>
        <v>2.9505046124196621</v>
      </c>
      <c r="AV7" s="35">
        <f t="shared" si="13"/>
        <v>12.266666666666667</v>
      </c>
      <c r="AW7" s="47">
        <f t="shared" si="14"/>
        <v>69.449999999999989</v>
      </c>
      <c r="AY7" s="29">
        <f t="shared" si="37"/>
        <v>0</v>
      </c>
      <c r="AZ7" s="3">
        <f t="shared" si="15"/>
        <v>4.3719928023574637</v>
      </c>
      <c r="BA7" s="3">
        <f t="shared" si="16"/>
        <v>-2.5492170936942697</v>
      </c>
      <c r="BB7" s="3">
        <f t="shared" si="17"/>
        <v>-27.050222971376652</v>
      </c>
      <c r="BC7" s="3">
        <f t="shared" si="18"/>
        <v>16.888209040871352</v>
      </c>
      <c r="BD7" s="3">
        <f t="shared" si="19"/>
        <v>-4.9280511400409592</v>
      </c>
      <c r="BE7" s="3">
        <f t="shared" si="20"/>
        <v>8.997085131802665</v>
      </c>
      <c r="BF7" s="3">
        <f t="shared" si="21"/>
        <v>-67.010572255246359</v>
      </c>
      <c r="BG7" s="3" t="e">
        <f t="shared" si="22"/>
        <v>#N/A</v>
      </c>
      <c r="BH7" s="3" t="e">
        <f t="shared" si="23"/>
        <v>#N/A</v>
      </c>
      <c r="BI7" s="3" t="e">
        <f t="shared" si="24"/>
        <v>#N/A</v>
      </c>
      <c r="BJ7" s="3" t="e">
        <f t="shared" si="25"/>
        <v>#N/A</v>
      </c>
      <c r="BK7" s="3" t="e">
        <f t="shared" si="26"/>
        <v>#N/A</v>
      </c>
      <c r="BL7" s="3" t="e">
        <f t="shared" si="27"/>
        <v>#N/A</v>
      </c>
      <c r="BM7" s="3" t="e">
        <f t="shared" si="28"/>
        <v>#N/A</v>
      </c>
      <c r="BN7" s="3" t="e">
        <f t="shared" si="29"/>
        <v>#N/A</v>
      </c>
      <c r="BO7" s="3" t="e">
        <f t="shared" si="30"/>
        <v>#N/A</v>
      </c>
      <c r="BP7" s="3" t="e">
        <f t="shared" si="31"/>
        <v>#N/A</v>
      </c>
      <c r="BQ7" s="3" t="e">
        <f t="shared" si="32"/>
        <v>#N/A</v>
      </c>
      <c r="BR7" s="3" t="e">
        <f t="shared" si="33"/>
        <v>#N/A</v>
      </c>
      <c r="BS7" s="3" t="e">
        <f t="shared" si="34"/>
        <v>#N/A</v>
      </c>
      <c r="BT7" s="7" t="e">
        <f t="shared" si="35"/>
        <v>#N/A</v>
      </c>
    </row>
    <row r="8" spans="1:72" ht="17" thickBot="1" x14ac:dyDescent="0.25">
      <c r="A8" s="31" t="s">
        <v>35</v>
      </c>
      <c r="B8" s="116">
        <v>9</v>
      </c>
      <c r="C8" s="14" t="s">
        <v>124</v>
      </c>
      <c r="P8" s="3"/>
      <c r="V8" s="24">
        <v>4</v>
      </c>
      <c r="W8" s="36" t="s">
        <v>294</v>
      </c>
      <c r="X8" s="36" t="s">
        <v>112</v>
      </c>
      <c r="Y8" s="5">
        <v>2</v>
      </c>
      <c r="Z8" s="36"/>
      <c r="AA8" s="95">
        <v>12.28</v>
      </c>
      <c r="AB8" s="159">
        <v>44.05</v>
      </c>
      <c r="AC8" s="95">
        <v>0.27</v>
      </c>
      <c r="AD8" s="100">
        <v>3.8</v>
      </c>
      <c r="AE8" s="18">
        <f t="shared" si="0"/>
        <v>78.014984092155714</v>
      </c>
      <c r="AF8" s="96">
        <f t="shared" si="8"/>
        <v>3.8505046124196589</v>
      </c>
      <c r="AG8" s="18" t="e">
        <f t="shared" si="9"/>
        <v>#N/A</v>
      </c>
      <c r="AH8" s="18" t="e">
        <f>IF(OR($AE$4&lt;0,AE8&lt;0),NA(),  Calcs!$B$62*10^(-0.4*Calcs!$B$63*_xlfn.SEC(RADIANS(90-$AE$4)))  *  (1 - 10^(-0.4*Calcs!$B$63*_xlfn.SEC(RADIANS(90-AE8))))  *  (  10^5.36 * (1.06+ (COS(RADIANS(AG8))^2)) + 10^(6.15 - AG8/40) )  )</f>
        <v>#N/A</v>
      </c>
      <c r="AI8" s="220" t="e">
        <f t="shared" si="10"/>
        <v>#N/A</v>
      </c>
      <c r="AJ8" s="65"/>
      <c r="AK8" s="238">
        <v>45</v>
      </c>
      <c r="AL8" s="46">
        <f t="shared" si="36"/>
        <v>1.4142135623730951</v>
      </c>
      <c r="AM8" s="220">
        <f t="shared" si="11"/>
        <v>3.7846443942880845</v>
      </c>
      <c r="AN8" s="68">
        <f t="shared" si="1"/>
        <v>-0.32050461241965955</v>
      </c>
      <c r="AO8" s="64">
        <f t="shared" si="2"/>
        <v>16.852926646997581</v>
      </c>
      <c r="AP8" s="65">
        <f t="shared" si="3"/>
        <v>9.3205046124196596</v>
      </c>
      <c r="AQ8" s="64">
        <f t="shared" si="4"/>
        <v>78.616666666666674</v>
      </c>
      <c r="AR8" s="64">
        <f t="shared" si="5"/>
        <v>-160.14554319605506</v>
      </c>
      <c r="AS8" s="35">
        <f t="shared" si="6"/>
        <v>-3.8607197496595087E-2</v>
      </c>
      <c r="AT8" s="35">
        <f t="shared" si="7"/>
        <v>0.12744760683526682</v>
      </c>
      <c r="AU8">
        <f t="shared" si="12"/>
        <v>3.8505046124196589</v>
      </c>
      <c r="AV8" s="35">
        <f t="shared" si="13"/>
        <v>12.466666666666665</v>
      </c>
      <c r="AW8" s="47">
        <f t="shared" si="14"/>
        <v>44.083333333333329</v>
      </c>
      <c r="AY8" s="29">
        <f t="shared" si="37"/>
        <v>0.5</v>
      </c>
      <c r="AZ8" s="3">
        <f t="shared" si="15"/>
        <v>-1.6329306079357193</v>
      </c>
      <c r="BA8" s="3">
        <f t="shared" si="16"/>
        <v>-1.2888343400827162</v>
      </c>
      <c r="BB8" s="3">
        <f t="shared" si="17"/>
        <v>-23.159755225659577</v>
      </c>
      <c r="BC8" s="3">
        <f t="shared" si="18"/>
        <v>18.586595281105538</v>
      </c>
      <c r="BD8" s="3">
        <f t="shared" si="19"/>
        <v>-1.778476582635504</v>
      </c>
      <c r="BE8" s="3">
        <f t="shared" si="20"/>
        <v>10.993170958988705</v>
      </c>
      <c r="BF8" s="3">
        <f t="shared" si="21"/>
        <v>-64.716086388453505</v>
      </c>
      <c r="BG8" s="3" t="e">
        <f t="shared" si="22"/>
        <v>#N/A</v>
      </c>
      <c r="BH8" s="3" t="e">
        <f t="shared" si="23"/>
        <v>#N/A</v>
      </c>
      <c r="BI8" s="3" t="e">
        <f t="shared" si="24"/>
        <v>#N/A</v>
      </c>
      <c r="BJ8" s="3" t="e">
        <f t="shared" si="25"/>
        <v>#N/A</v>
      </c>
      <c r="BK8" s="3" t="e">
        <f t="shared" si="26"/>
        <v>#N/A</v>
      </c>
      <c r="BL8" s="3" t="e">
        <f t="shared" si="27"/>
        <v>#N/A</v>
      </c>
      <c r="BM8" s="3" t="e">
        <f t="shared" si="28"/>
        <v>#N/A</v>
      </c>
      <c r="BN8" s="3" t="e">
        <f t="shared" si="29"/>
        <v>#N/A</v>
      </c>
      <c r="BO8" s="3" t="e">
        <f t="shared" si="30"/>
        <v>#N/A</v>
      </c>
      <c r="BP8" s="3" t="e">
        <f t="shared" si="31"/>
        <v>#N/A</v>
      </c>
      <c r="BQ8" s="3" t="e">
        <f t="shared" si="32"/>
        <v>#N/A</v>
      </c>
      <c r="BR8" s="3" t="e">
        <f t="shared" si="33"/>
        <v>#N/A</v>
      </c>
      <c r="BS8" s="3" t="e">
        <f t="shared" si="34"/>
        <v>#N/A</v>
      </c>
      <c r="BT8" s="7" t="e">
        <f t="shared" si="35"/>
        <v>#N/A</v>
      </c>
    </row>
    <row r="9" spans="1:72" ht="17" thickBot="1" x14ac:dyDescent="0.25">
      <c r="A9" s="8"/>
      <c r="B9" s="9"/>
      <c r="C9" s="15"/>
      <c r="D9" s="1"/>
      <c r="V9" s="24">
        <v>5</v>
      </c>
      <c r="W9" s="5" t="s">
        <v>295</v>
      </c>
      <c r="X9" s="5" t="s">
        <v>112</v>
      </c>
      <c r="Y9" s="5">
        <v>2</v>
      </c>
      <c r="Z9" s="5"/>
      <c r="AA9" s="95">
        <v>12.4</v>
      </c>
      <c r="AB9" s="159">
        <v>61.36</v>
      </c>
      <c r="AC9" s="95">
        <v>0.32</v>
      </c>
      <c r="AD9" s="34">
        <v>3.6</v>
      </c>
      <c r="AE9" s="18">
        <f t="shared" si="0"/>
        <v>60.663137431885758</v>
      </c>
      <c r="AF9" s="96">
        <f t="shared" si="8"/>
        <v>3.8005046124196618</v>
      </c>
      <c r="AG9" s="18" t="e">
        <f t="shared" si="9"/>
        <v>#N/A</v>
      </c>
      <c r="AH9" s="18" t="e">
        <f>IF(OR($AE$4&lt;0,AE9&lt;0),NA(),  Calcs!$B$62*10^(-0.4*Calcs!$B$63*_xlfn.SEC(RADIANS(90-$AE$4)))  *  (1 - 10^(-0.4*Calcs!$B$63*_xlfn.SEC(RADIANS(90-AE9))))  *  (  10^5.36 * (1.06+ (COS(RADIANS(AG9))^2)) + 10^(6.15 - AG9/40) )  )</f>
        <v>#N/A</v>
      </c>
      <c r="AI9" s="220" t="e">
        <f t="shared" si="10"/>
        <v>#N/A</v>
      </c>
      <c r="AJ9" s="65"/>
      <c r="AK9" s="238">
        <v>45</v>
      </c>
      <c r="AL9" s="46">
        <f t="shared" si="36"/>
        <v>1.4142135623730951</v>
      </c>
      <c r="AM9" s="220">
        <f t="shared" si="11"/>
        <v>3.6396255904178036</v>
      </c>
      <c r="AN9" s="68">
        <f t="shared" si="1"/>
        <v>-0.52050461241966239</v>
      </c>
      <c r="AO9" s="64">
        <f t="shared" si="2"/>
        <v>7.5780227173972259</v>
      </c>
      <c r="AP9" s="65">
        <f t="shared" si="3"/>
        <v>9.5205046124196624</v>
      </c>
      <c r="AQ9" s="64">
        <f t="shared" si="4"/>
        <v>61.1</v>
      </c>
      <c r="AR9" s="64">
        <f t="shared" si="5"/>
        <v>-166.50706694801733</v>
      </c>
      <c r="AS9" s="35">
        <f t="shared" si="6"/>
        <v>-4.2987035507210114E-2</v>
      </c>
      <c r="AT9" s="35">
        <f t="shared" si="7"/>
        <v>0.32311822455960532</v>
      </c>
      <c r="AU9">
        <f t="shared" si="12"/>
        <v>3.8005046124196618</v>
      </c>
      <c r="AV9" s="35">
        <f t="shared" si="13"/>
        <v>12.666666666666668</v>
      </c>
      <c r="AW9" s="47">
        <f t="shared" si="14"/>
        <v>61.6</v>
      </c>
      <c r="AY9" s="29">
        <f t="shared" si="37"/>
        <v>1</v>
      </c>
      <c r="AZ9" s="3">
        <f t="shared" si="15"/>
        <v>-7.7587954851544456</v>
      </c>
      <c r="BA9" s="3">
        <f t="shared" si="16"/>
        <v>0.41954323514043884</v>
      </c>
      <c r="BB9" s="3">
        <f t="shared" si="17"/>
        <v>-18.764333846830656</v>
      </c>
      <c r="BC9" s="3">
        <f t="shared" si="18"/>
        <v>20.497811825027533</v>
      </c>
      <c r="BD9" s="3">
        <f t="shared" si="19"/>
        <v>1.7647602198538606</v>
      </c>
      <c r="BE9" s="3">
        <f t="shared" si="20"/>
        <v>13.289309489508025</v>
      </c>
      <c r="BF9" s="3">
        <f t="shared" si="21"/>
        <v>-60.925493067660035</v>
      </c>
      <c r="BG9" s="3" t="e">
        <f t="shared" si="22"/>
        <v>#N/A</v>
      </c>
      <c r="BH9" s="3" t="e">
        <f t="shared" si="23"/>
        <v>#N/A</v>
      </c>
      <c r="BI9" s="3" t="e">
        <f t="shared" si="24"/>
        <v>#N/A</v>
      </c>
      <c r="BJ9" s="3" t="e">
        <f t="shared" si="25"/>
        <v>#N/A</v>
      </c>
      <c r="BK9" s="3" t="e">
        <f t="shared" si="26"/>
        <v>#N/A</v>
      </c>
      <c r="BL9" s="3" t="e">
        <f t="shared" si="27"/>
        <v>#N/A</v>
      </c>
      <c r="BM9" s="3" t="e">
        <f t="shared" si="28"/>
        <v>#N/A</v>
      </c>
      <c r="BN9" s="3" t="e">
        <f t="shared" si="29"/>
        <v>#N/A</v>
      </c>
      <c r="BO9" s="3" t="e">
        <f t="shared" si="30"/>
        <v>#N/A</v>
      </c>
      <c r="BP9" s="3" t="e">
        <f t="shared" si="31"/>
        <v>#N/A</v>
      </c>
      <c r="BQ9" s="3" t="e">
        <f t="shared" si="32"/>
        <v>#N/A</v>
      </c>
      <c r="BR9" s="3" t="e">
        <f t="shared" si="33"/>
        <v>#N/A</v>
      </c>
      <c r="BS9" s="3" t="e">
        <f t="shared" si="34"/>
        <v>#N/A</v>
      </c>
      <c r="BT9" s="7" t="e">
        <f t="shared" si="35"/>
        <v>#N/A</v>
      </c>
    </row>
    <row r="10" spans="1:72" ht="17" thickBot="1" x14ac:dyDescent="0.25">
      <c r="V10" s="24">
        <v>6</v>
      </c>
      <c r="W10" s="5" t="s">
        <v>296</v>
      </c>
      <c r="X10" s="5" t="s">
        <v>113</v>
      </c>
      <c r="Y10" s="5">
        <v>2</v>
      </c>
      <c r="Z10" s="5"/>
      <c r="AA10" s="95">
        <v>14.49</v>
      </c>
      <c r="AB10" s="159">
        <v>-10.1</v>
      </c>
      <c r="AC10" s="95">
        <v>0.84</v>
      </c>
      <c r="AD10" s="34">
        <v>2.5</v>
      </c>
      <c r="AE10" s="18">
        <f t="shared" si="0"/>
        <v>32.589654161330067</v>
      </c>
      <c r="AF10" s="96">
        <f t="shared" si="8"/>
        <v>4.3305046124196611</v>
      </c>
      <c r="AG10" s="18" t="e">
        <f t="shared" si="9"/>
        <v>#N/A</v>
      </c>
      <c r="AH10" s="18" t="e">
        <f>IF(OR($AE$4&lt;0,AE10&lt;0),NA(),  Calcs!$B$62*10^(-0.4*Calcs!$B$63*_xlfn.SEC(RADIANS(90-$AE$4)))  *  (1 - 10^(-0.4*Calcs!$B$63*_xlfn.SEC(RADIANS(90-AE10))))  *  (  10^5.36 * (1.06+ (COS(RADIANS(AG10))^2)) + 10^(6.15 - AG10/40) )  )</f>
        <v>#N/A</v>
      </c>
      <c r="AI10" s="220" t="e">
        <f t="shared" si="10"/>
        <v>#N/A</v>
      </c>
      <c r="AJ10" s="65"/>
      <c r="AK10" s="238">
        <v>45</v>
      </c>
      <c r="AL10" s="46">
        <f t="shared" si="36"/>
        <v>1.4142135623730951</v>
      </c>
      <c r="AM10" s="220">
        <f t="shared" si="11"/>
        <v>0.95646155268529909</v>
      </c>
      <c r="AN10" s="68">
        <f t="shared" si="1"/>
        <v>-2.670504612419661</v>
      </c>
      <c r="AO10" s="64">
        <f t="shared" si="2"/>
        <v>131.25105487790225</v>
      </c>
      <c r="AP10" s="65">
        <f t="shared" si="3"/>
        <v>11.670504612419661</v>
      </c>
      <c r="AQ10" s="64">
        <f t="shared" si="4"/>
        <v>47.133333333333333</v>
      </c>
      <c r="AR10" s="64">
        <f t="shared" si="5"/>
        <v>-39.998193895668749</v>
      </c>
      <c r="AS10" s="35">
        <f t="shared" si="6"/>
        <v>-0.47958540483610018</v>
      </c>
      <c r="AT10" s="35">
        <f t="shared" si="7"/>
        <v>-0.42060073278674615</v>
      </c>
      <c r="AU10" t="e">
        <f t="shared" si="12"/>
        <v>#N/A</v>
      </c>
      <c r="AV10" s="35">
        <f t="shared" si="13"/>
        <v>14.816666666666666</v>
      </c>
      <c r="AW10" s="47">
        <f t="shared" si="14"/>
        <v>-10.166666666666666</v>
      </c>
      <c r="AY10" s="29">
        <f t="shared" si="37"/>
        <v>1.5</v>
      </c>
      <c r="AZ10" s="3">
        <f t="shared" si="15"/>
        <v>-13.973118424042072</v>
      </c>
      <c r="BA10" s="3">
        <f t="shared" si="16"/>
        <v>2.5480301965222902</v>
      </c>
      <c r="BB10" s="3">
        <f t="shared" si="17"/>
        <v>-13.953668983317376</v>
      </c>
      <c r="BC10" s="3">
        <f t="shared" si="18"/>
        <v>22.598401921782457</v>
      </c>
      <c r="BD10" s="3">
        <f t="shared" si="19"/>
        <v>5.6545980805631428</v>
      </c>
      <c r="BE10" s="3">
        <f t="shared" si="20"/>
        <v>15.857298673740482</v>
      </c>
      <c r="BF10" s="3">
        <f t="shared" si="21"/>
        <v>-56.145195759682451</v>
      </c>
      <c r="BG10" s="3" t="e">
        <f t="shared" si="22"/>
        <v>#N/A</v>
      </c>
      <c r="BH10" s="3" t="e">
        <f t="shared" si="23"/>
        <v>#N/A</v>
      </c>
      <c r="BI10" s="3" t="e">
        <f t="shared" si="24"/>
        <v>#N/A</v>
      </c>
      <c r="BJ10" s="3" t="e">
        <f t="shared" si="25"/>
        <v>#N/A</v>
      </c>
      <c r="BK10" s="3" t="e">
        <f t="shared" si="26"/>
        <v>#N/A</v>
      </c>
      <c r="BL10" s="3" t="e">
        <f t="shared" si="27"/>
        <v>#N/A</v>
      </c>
      <c r="BM10" s="3" t="e">
        <f t="shared" si="28"/>
        <v>#N/A</v>
      </c>
      <c r="BN10" s="3" t="e">
        <f t="shared" si="29"/>
        <v>#N/A</v>
      </c>
      <c r="BO10" s="3" t="e">
        <f t="shared" si="30"/>
        <v>#N/A</v>
      </c>
      <c r="BP10" s="3" t="e">
        <f t="shared" si="31"/>
        <v>#N/A</v>
      </c>
      <c r="BQ10" s="3" t="e">
        <f t="shared" si="32"/>
        <v>#N/A</v>
      </c>
      <c r="BR10" s="3" t="e">
        <f t="shared" si="33"/>
        <v>#N/A</v>
      </c>
      <c r="BS10" s="3" t="e">
        <f t="shared" si="34"/>
        <v>#N/A</v>
      </c>
      <c r="BT10" s="7" t="e">
        <f t="shared" si="35"/>
        <v>#N/A</v>
      </c>
    </row>
    <row r="11" spans="1:72" x14ac:dyDescent="0.2">
      <c r="A11" s="310" t="s">
        <v>69</v>
      </c>
      <c r="B11" s="311"/>
      <c r="C11" s="312"/>
      <c r="V11" s="24">
        <v>7</v>
      </c>
      <c r="W11" s="5"/>
      <c r="X11" s="5"/>
      <c r="Y11" s="5"/>
      <c r="Z11" s="5"/>
      <c r="AA11" s="95"/>
      <c r="AB11" s="159"/>
      <c r="AC11" s="95"/>
      <c r="AD11" s="34"/>
      <c r="AE11" s="18" t="e">
        <f t="shared" si="0"/>
        <v>#N/A</v>
      </c>
      <c r="AF11" s="96" t="e">
        <f t="shared" si="8"/>
        <v>#N/A</v>
      </c>
      <c r="AG11" s="18" t="e">
        <f t="shared" si="9"/>
        <v>#N/A</v>
      </c>
      <c r="AH11" s="18" t="e">
        <f>IF(OR($AE$4&lt;0,AE11&lt;0),NA(),  Calcs!$B$62*10^(-0.4*Calcs!$B$63*_xlfn.SEC(RADIANS(90-$AE$4)))  *  (1 - 10^(-0.4*Calcs!$B$63*_xlfn.SEC(RADIANS(90-AE11))))  *  (  10^5.36 * (1.06+ (COS(RADIANS(AG11))^2)) + 10^(6.15 - AG11/40) )  )</f>
        <v>#N/A</v>
      </c>
      <c r="AI11" s="220" t="e">
        <f t="shared" si="10"/>
        <v>#N/A</v>
      </c>
      <c r="AJ11" s="65"/>
      <c r="AK11" s="238"/>
      <c r="AL11" s="46" t="e">
        <f t="shared" si="36"/>
        <v>#N/A</v>
      </c>
      <c r="AM11" s="220" t="e">
        <f t="shared" si="11"/>
        <v>#N/A</v>
      </c>
      <c r="AN11" s="68" t="e">
        <f t="shared" si="1"/>
        <v>#N/A</v>
      </c>
      <c r="AO11" s="64" t="e">
        <f t="shared" si="2"/>
        <v>#N/A</v>
      </c>
      <c r="AP11" s="65" t="e">
        <f t="shared" si="3"/>
        <v>#N/A</v>
      </c>
      <c r="AQ11" s="64" t="e">
        <f t="shared" si="4"/>
        <v>#N/A</v>
      </c>
      <c r="AR11" s="64" t="e">
        <f t="shared" si="5"/>
        <v>#N/A</v>
      </c>
      <c r="AS11" s="35" t="e">
        <f t="shared" si="6"/>
        <v>#N/A</v>
      </c>
      <c r="AT11" s="35" t="e">
        <f t="shared" si="7"/>
        <v>#N/A</v>
      </c>
      <c r="AU11" t="e">
        <f t="shared" si="12"/>
        <v>#N/A</v>
      </c>
      <c r="AV11" s="35" t="e">
        <f t="shared" si="13"/>
        <v>#N/A</v>
      </c>
      <c r="AW11" s="47" t="e">
        <f t="shared" si="14"/>
        <v>#N/A</v>
      </c>
      <c r="AY11" s="29">
        <f t="shared" si="37"/>
        <v>2</v>
      </c>
      <c r="AZ11" s="3">
        <f t="shared" si="15"/>
        <v>-20.2468407919676</v>
      </c>
      <c r="BA11" s="3">
        <f t="shared" si="16"/>
        <v>5.0644144584358823</v>
      </c>
      <c r="BB11" s="3">
        <f t="shared" si="17"/>
        <v>-8.8041157513505617</v>
      </c>
      <c r="BC11" s="3">
        <f t="shared" si="18"/>
        <v>24.862876729070141</v>
      </c>
      <c r="BD11" s="3">
        <f t="shared" si="19"/>
        <v>9.8466289285694231</v>
      </c>
      <c r="BE11" s="3">
        <f t="shared" si="20"/>
        <v>18.667310801106009</v>
      </c>
      <c r="BF11" s="3">
        <f t="shared" si="21"/>
        <v>-50.745033571116615</v>
      </c>
      <c r="BG11" s="3" t="e">
        <f t="shared" si="22"/>
        <v>#N/A</v>
      </c>
      <c r="BH11" s="3" t="e">
        <f t="shared" si="23"/>
        <v>#N/A</v>
      </c>
      <c r="BI11" s="3" t="e">
        <f t="shared" si="24"/>
        <v>#N/A</v>
      </c>
      <c r="BJ11" s="3" t="e">
        <f t="shared" si="25"/>
        <v>#N/A</v>
      </c>
      <c r="BK11" s="3" t="e">
        <f t="shared" si="26"/>
        <v>#N/A</v>
      </c>
      <c r="BL11" s="3" t="e">
        <f t="shared" si="27"/>
        <v>#N/A</v>
      </c>
      <c r="BM11" s="3" t="e">
        <f t="shared" si="28"/>
        <v>#N/A</v>
      </c>
      <c r="BN11" s="3" t="e">
        <f t="shared" si="29"/>
        <v>#N/A</v>
      </c>
      <c r="BO11" s="3" t="e">
        <f t="shared" si="30"/>
        <v>#N/A</v>
      </c>
      <c r="BP11" s="3" t="e">
        <f t="shared" si="31"/>
        <v>#N/A</v>
      </c>
      <c r="BQ11" s="3" t="e">
        <f t="shared" si="32"/>
        <v>#N/A</v>
      </c>
      <c r="BR11" s="3" t="e">
        <f t="shared" si="33"/>
        <v>#N/A</v>
      </c>
      <c r="BS11" s="3" t="e">
        <f t="shared" si="34"/>
        <v>#N/A</v>
      </c>
      <c r="BT11" s="7" t="e">
        <f t="shared" si="35"/>
        <v>#N/A</v>
      </c>
    </row>
    <row r="12" spans="1:72" x14ac:dyDescent="0.2">
      <c r="A12" s="150" t="s">
        <v>18</v>
      </c>
      <c r="B12" s="192">
        <f>INT(Calcs!B33) + MOD(Calcs!B33,1)*60/100</f>
        <v>1.1486350050189906</v>
      </c>
      <c r="C12" s="151" t="s">
        <v>141</v>
      </c>
      <c r="V12" s="24">
        <v>8</v>
      </c>
      <c r="W12" s="5"/>
      <c r="X12" s="5"/>
      <c r="Y12" s="5"/>
      <c r="Z12" s="5"/>
      <c r="AA12" s="95"/>
      <c r="AB12" s="159"/>
      <c r="AC12" s="95"/>
      <c r="AD12" s="34"/>
      <c r="AE12" s="18" t="e">
        <f t="shared" si="0"/>
        <v>#N/A</v>
      </c>
      <c r="AF12" s="96" t="e">
        <f t="shared" si="8"/>
        <v>#N/A</v>
      </c>
      <c r="AG12" s="18" t="e">
        <f t="shared" si="9"/>
        <v>#N/A</v>
      </c>
      <c r="AH12" s="18" t="e">
        <f>IF(OR($AE$4&lt;0,AE12&lt;0),NA(),  Calcs!$B$62*10^(-0.4*Calcs!$B$63*_xlfn.SEC(RADIANS(90-$AE$4)))  *  (1 - 10^(-0.4*Calcs!$B$63*_xlfn.SEC(RADIANS(90-AE12))))  *  (  10^5.36 * (1.06+ (COS(RADIANS(AG12))^2)) + 10^(6.15 - AG12/40) )  )</f>
        <v>#N/A</v>
      </c>
      <c r="AI12" s="220" t="e">
        <f t="shared" si="10"/>
        <v>#N/A</v>
      </c>
      <c r="AJ12" s="65"/>
      <c r="AK12" s="238"/>
      <c r="AL12" s="46" t="e">
        <f t="shared" si="36"/>
        <v>#N/A</v>
      </c>
      <c r="AM12" s="220" t="e">
        <f t="shared" si="11"/>
        <v>#N/A</v>
      </c>
      <c r="AN12" s="68" t="e">
        <f t="shared" si="1"/>
        <v>#N/A</v>
      </c>
      <c r="AO12" s="64" t="e">
        <f t="shared" si="2"/>
        <v>#N/A</v>
      </c>
      <c r="AP12" s="65" t="e">
        <f t="shared" si="3"/>
        <v>#N/A</v>
      </c>
      <c r="AQ12" s="64" t="e">
        <f t="shared" si="4"/>
        <v>#N/A</v>
      </c>
      <c r="AR12" s="64" t="e">
        <f t="shared" si="5"/>
        <v>#N/A</v>
      </c>
      <c r="AS12" s="35" t="e">
        <f t="shared" si="6"/>
        <v>#N/A</v>
      </c>
      <c r="AT12" s="35" t="e">
        <f t="shared" si="7"/>
        <v>#N/A</v>
      </c>
      <c r="AU12" t="e">
        <f t="shared" si="12"/>
        <v>#N/A</v>
      </c>
      <c r="AV12" s="35" t="e">
        <f t="shared" si="13"/>
        <v>#N/A</v>
      </c>
      <c r="AW12" s="47" t="e">
        <f t="shared" si="14"/>
        <v>#N/A</v>
      </c>
      <c r="AY12" s="29">
        <f t="shared" si="37"/>
        <v>2.5</v>
      </c>
      <c r="AZ12" s="3">
        <f t="shared" si="15"/>
        <v>-26.551971561349109</v>
      </c>
      <c r="BA12" s="3">
        <f t="shared" si="16"/>
        <v>7.9338076756297395</v>
      </c>
      <c r="BB12" s="3">
        <f t="shared" si="17"/>
        <v>-3.3791024011655182</v>
      </c>
      <c r="BC12" s="3">
        <f t="shared" si="18"/>
        <v>27.263795570589437</v>
      </c>
      <c r="BD12" s="3">
        <f t="shared" si="19"/>
        <v>14.299843522015594</v>
      </c>
      <c r="BE12" s="3">
        <f t="shared" si="20"/>
        <v>21.688318170703237</v>
      </c>
      <c r="BF12" s="3">
        <f t="shared" si="21"/>
        <v>-44.959444549959478</v>
      </c>
      <c r="BG12" s="3" t="e">
        <f t="shared" si="22"/>
        <v>#N/A</v>
      </c>
      <c r="BH12" s="3" t="e">
        <f t="shared" si="23"/>
        <v>#N/A</v>
      </c>
      <c r="BI12" s="3" t="e">
        <f t="shared" si="24"/>
        <v>#N/A</v>
      </c>
      <c r="BJ12" s="3" t="e">
        <f t="shared" si="25"/>
        <v>#N/A</v>
      </c>
      <c r="BK12" s="3" t="e">
        <f t="shared" si="26"/>
        <v>#N/A</v>
      </c>
      <c r="BL12" s="3" t="e">
        <f t="shared" si="27"/>
        <v>#N/A</v>
      </c>
      <c r="BM12" s="3" t="e">
        <f t="shared" si="28"/>
        <v>#N/A</v>
      </c>
      <c r="BN12" s="3" t="e">
        <f t="shared" si="29"/>
        <v>#N/A</v>
      </c>
      <c r="BO12" s="3" t="e">
        <f t="shared" si="30"/>
        <v>#N/A</v>
      </c>
      <c r="BP12" s="3" t="e">
        <f t="shared" si="31"/>
        <v>#N/A</v>
      </c>
      <c r="BQ12" s="3" t="e">
        <f t="shared" si="32"/>
        <v>#N/A</v>
      </c>
      <c r="BR12" s="3" t="e">
        <f t="shared" si="33"/>
        <v>#N/A</v>
      </c>
      <c r="BS12" s="3" t="e">
        <f t="shared" si="34"/>
        <v>#N/A</v>
      </c>
      <c r="BT12" s="7" t="e">
        <f t="shared" si="35"/>
        <v>#N/A</v>
      </c>
    </row>
    <row r="13" spans="1:72" x14ac:dyDescent="0.2">
      <c r="A13" s="150" t="s">
        <v>21</v>
      </c>
      <c r="B13" s="192">
        <f>INT(Calcs!B34) + MOD(Calcs!B34,1)*60/100</f>
        <v>2.081225523111911</v>
      </c>
      <c r="C13" s="151" t="s">
        <v>141</v>
      </c>
      <c r="V13" s="24">
        <v>9</v>
      </c>
      <c r="W13" s="51"/>
      <c r="X13" s="51"/>
      <c r="Y13" s="51"/>
      <c r="Z13" s="51"/>
      <c r="AA13" s="95"/>
      <c r="AB13" s="159"/>
      <c r="AC13" s="230"/>
      <c r="AD13" s="231"/>
      <c r="AE13" s="18" t="e">
        <f t="shared" si="0"/>
        <v>#N/A</v>
      </c>
      <c r="AF13" s="96" t="e">
        <f t="shared" si="8"/>
        <v>#N/A</v>
      </c>
      <c r="AG13" s="18" t="e">
        <f t="shared" si="9"/>
        <v>#N/A</v>
      </c>
      <c r="AH13" s="18" t="e">
        <f>IF(OR($AE$4&lt;0,AE13&lt;0),NA(),  Calcs!$B$62*10^(-0.4*Calcs!$B$63*_xlfn.SEC(RADIANS(90-$AE$4)))  *  (1 - 10^(-0.4*Calcs!$B$63*_xlfn.SEC(RADIANS(90-AE13))))  *  (  10^5.36 * (1.06+ (COS(RADIANS(AG13))^2)) + 10^(6.15 - AG13/40) )  )</f>
        <v>#N/A</v>
      </c>
      <c r="AI13" s="220" t="e">
        <f t="shared" si="10"/>
        <v>#N/A</v>
      </c>
      <c r="AJ13" s="65"/>
      <c r="AK13" s="238"/>
      <c r="AL13" s="46" t="e">
        <f t="shared" si="36"/>
        <v>#N/A</v>
      </c>
      <c r="AM13" s="220" t="e">
        <f t="shared" si="11"/>
        <v>#N/A</v>
      </c>
      <c r="AN13" s="68" t="e">
        <f t="shared" si="1"/>
        <v>#N/A</v>
      </c>
      <c r="AO13" s="64" t="e">
        <f t="shared" si="2"/>
        <v>#N/A</v>
      </c>
      <c r="AP13" s="65" t="e">
        <f t="shared" si="3"/>
        <v>#N/A</v>
      </c>
      <c r="AQ13" s="64" t="e">
        <f t="shared" si="4"/>
        <v>#N/A</v>
      </c>
      <c r="AR13" s="64" t="e">
        <f t="shared" si="5"/>
        <v>#N/A</v>
      </c>
      <c r="AS13" s="35" t="e">
        <f t="shared" si="6"/>
        <v>#N/A</v>
      </c>
      <c r="AT13" s="35" t="e">
        <f t="shared" si="7"/>
        <v>#N/A</v>
      </c>
      <c r="AU13" t="e">
        <f t="shared" si="12"/>
        <v>#N/A</v>
      </c>
      <c r="AV13" s="35" t="e">
        <f t="shared" si="13"/>
        <v>#N/A</v>
      </c>
      <c r="AW13" s="47" t="e">
        <f t="shared" si="14"/>
        <v>#N/A</v>
      </c>
      <c r="AY13" s="29">
        <f t="shared" si="37"/>
        <v>3</v>
      </c>
      <c r="AZ13" s="3">
        <f t="shared" si="15"/>
        <v>-32.858876431809172</v>
      </c>
      <c r="BA13" s="3">
        <f t="shared" si="16"/>
        <v>11.120061102367764</v>
      </c>
      <c r="BB13" s="3">
        <f t="shared" si="17"/>
        <v>2.2692825738368896</v>
      </c>
      <c r="BC13" s="3">
        <f t="shared" si="18"/>
        <v>29.771702595861569</v>
      </c>
      <c r="BD13" s="3">
        <f t="shared" si="19"/>
        <v>18.976844841369466</v>
      </c>
      <c r="BE13" s="3">
        <f t="shared" si="20"/>
        <v>24.88826616506358</v>
      </c>
      <c r="BF13" s="3">
        <f t="shared" si="21"/>
        <v>-38.933338508673977</v>
      </c>
      <c r="BG13" s="3" t="e">
        <f t="shared" si="22"/>
        <v>#N/A</v>
      </c>
      <c r="BH13" s="3" t="e">
        <f t="shared" si="23"/>
        <v>#N/A</v>
      </c>
      <c r="BI13" s="3" t="e">
        <f t="shared" si="24"/>
        <v>#N/A</v>
      </c>
      <c r="BJ13" s="3" t="e">
        <f t="shared" si="25"/>
        <v>#N/A</v>
      </c>
      <c r="BK13" s="3" t="e">
        <f t="shared" si="26"/>
        <v>#N/A</v>
      </c>
      <c r="BL13" s="3" t="e">
        <f t="shared" si="27"/>
        <v>#N/A</v>
      </c>
      <c r="BM13" s="3" t="e">
        <f t="shared" si="28"/>
        <v>#N/A</v>
      </c>
      <c r="BN13" s="3" t="e">
        <f t="shared" si="29"/>
        <v>#N/A</v>
      </c>
      <c r="BO13" s="3" t="e">
        <f t="shared" si="30"/>
        <v>#N/A</v>
      </c>
      <c r="BP13" s="3" t="e">
        <f t="shared" si="31"/>
        <v>#N/A</v>
      </c>
      <c r="BQ13" s="3" t="e">
        <f t="shared" si="32"/>
        <v>#N/A</v>
      </c>
      <c r="BR13" s="3" t="e">
        <f t="shared" si="33"/>
        <v>#N/A</v>
      </c>
      <c r="BS13" s="3" t="e">
        <f t="shared" si="34"/>
        <v>#N/A</v>
      </c>
      <c r="BT13" s="7" t="e">
        <f t="shared" si="35"/>
        <v>#N/A</v>
      </c>
    </row>
    <row r="14" spans="1:72" x14ac:dyDescent="0.2">
      <c r="A14" s="150" t="s">
        <v>20</v>
      </c>
      <c r="B14" s="192">
        <f>INT(Calcs!B35) + MOD(Calcs!B35,1)*60/100</f>
        <v>2.3664857217310047</v>
      </c>
      <c r="C14" s="151" t="s">
        <v>141</v>
      </c>
      <c r="V14" s="24">
        <v>10</v>
      </c>
      <c r="W14" s="51"/>
      <c r="X14" s="51"/>
      <c r="Y14" s="51"/>
      <c r="Z14" s="51"/>
      <c r="AA14" s="95"/>
      <c r="AB14" s="159"/>
      <c r="AC14" s="230"/>
      <c r="AD14" s="231"/>
      <c r="AE14" s="18" t="e">
        <f t="shared" si="0"/>
        <v>#N/A</v>
      </c>
      <c r="AF14" s="96" t="e">
        <f t="shared" si="8"/>
        <v>#N/A</v>
      </c>
      <c r="AG14" s="18" t="e">
        <f t="shared" si="9"/>
        <v>#N/A</v>
      </c>
      <c r="AH14" s="18" t="e">
        <f>IF(OR($AE$4&lt;0,AE14&lt;0),NA(),  Calcs!$B$62*10^(-0.4*Calcs!$B$63*_xlfn.SEC(RADIANS(90-$AE$4)))  *  (1 - 10^(-0.4*Calcs!$B$63*_xlfn.SEC(RADIANS(90-AE14))))  *  (  10^5.36 * (1.06+ (COS(RADIANS(AG14))^2)) + 10^(6.15 - AG14/40) )  )</f>
        <v>#N/A</v>
      </c>
      <c r="AI14" s="220" t="e">
        <f t="shared" si="10"/>
        <v>#N/A</v>
      </c>
      <c r="AJ14" s="65"/>
      <c r="AK14" s="238"/>
      <c r="AL14" s="46" t="e">
        <f t="shared" si="36"/>
        <v>#N/A</v>
      </c>
      <c r="AM14" s="220" t="e">
        <f t="shared" si="11"/>
        <v>#N/A</v>
      </c>
      <c r="AN14" s="68" t="e">
        <f t="shared" si="1"/>
        <v>#N/A</v>
      </c>
      <c r="AO14" s="64" t="e">
        <f t="shared" si="2"/>
        <v>#N/A</v>
      </c>
      <c r="AP14" s="65" t="e">
        <f t="shared" si="3"/>
        <v>#N/A</v>
      </c>
      <c r="AQ14" s="64" t="e">
        <f t="shared" si="4"/>
        <v>#N/A</v>
      </c>
      <c r="AR14" s="64" t="e">
        <f t="shared" si="5"/>
        <v>#N/A</v>
      </c>
      <c r="AS14" s="35" t="e">
        <f t="shared" si="6"/>
        <v>#N/A</v>
      </c>
      <c r="AT14" s="35" t="e">
        <f t="shared" si="7"/>
        <v>#N/A</v>
      </c>
      <c r="AU14" t="e">
        <f t="shared" si="12"/>
        <v>#N/A</v>
      </c>
      <c r="AV14" s="35" t="e">
        <f t="shared" si="13"/>
        <v>#N/A</v>
      </c>
      <c r="AW14" s="47" t="e">
        <f t="shared" si="14"/>
        <v>#N/A</v>
      </c>
      <c r="AY14" s="29">
        <f t="shared" si="37"/>
        <v>3.5</v>
      </c>
      <c r="AZ14" s="3">
        <f t="shared" si="15"/>
        <v>-39.132585589290542</v>
      </c>
      <c r="BA14" s="3">
        <f t="shared" si="16"/>
        <v>14.586838858680213</v>
      </c>
      <c r="BB14" s="3">
        <f t="shared" si="17"/>
        <v>8.0983251525961144</v>
      </c>
      <c r="BC14" s="3">
        <f t="shared" si="18"/>
        <v>32.354906556345568</v>
      </c>
      <c r="BD14" s="3">
        <f t="shared" si="19"/>
        <v>23.84366611996095</v>
      </c>
      <c r="BE14" s="3">
        <f t="shared" si="20"/>
        <v>28.233963431602298</v>
      </c>
      <c r="BF14" s="3">
        <f t="shared" si="21"/>
        <v>-32.758873963604728</v>
      </c>
      <c r="BG14" s="3" t="e">
        <f t="shared" si="22"/>
        <v>#N/A</v>
      </c>
      <c r="BH14" s="3" t="e">
        <f t="shared" si="23"/>
        <v>#N/A</v>
      </c>
      <c r="BI14" s="3" t="e">
        <f t="shared" si="24"/>
        <v>#N/A</v>
      </c>
      <c r="BJ14" s="3" t="e">
        <f t="shared" si="25"/>
        <v>#N/A</v>
      </c>
      <c r="BK14" s="3" t="e">
        <f t="shared" si="26"/>
        <v>#N/A</v>
      </c>
      <c r="BL14" s="3" t="e">
        <f t="shared" si="27"/>
        <v>#N/A</v>
      </c>
      <c r="BM14" s="3" t="e">
        <f t="shared" si="28"/>
        <v>#N/A</v>
      </c>
      <c r="BN14" s="3" t="e">
        <f t="shared" si="29"/>
        <v>#N/A</v>
      </c>
      <c r="BO14" s="3" t="e">
        <f t="shared" si="30"/>
        <v>#N/A</v>
      </c>
      <c r="BP14" s="3" t="e">
        <f t="shared" si="31"/>
        <v>#N/A</v>
      </c>
      <c r="BQ14" s="3" t="e">
        <f t="shared" si="32"/>
        <v>#N/A</v>
      </c>
      <c r="BR14" s="3" t="e">
        <f t="shared" si="33"/>
        <v>#N/A</v>
      </c>
      <c r="BS14" s="3" t="e">
        <f t="shared" si="34"/>
        <v>#N/A</v>
      </c>
      <c r="BT14" s="7" t="e">
        <f t="shared" si="35"/>
        <v>#N/A</v>
      </c>
    </row>
    <row r="15" spans="1:72" x14ac:dyDescent="0.2">
      <c r="A15" s="152"/>
      <c r="B15" s="192"/>
      <c r="C15" s="151"/>
      <c r="V15" s="24">
        <v>11</v>
      </c>
      <c r="W15" s="51"/>
      <c r="X15" s="51"/>
      <c r="Y15" s="51"/>
      <c r="Z15" s="51"/>
      <c r="AA15" s="95"/>
      <c r="AB15" s="159"/>
      <c r="AC15" s="230"/>
      <c r="AD15" s="231"/>
      <c r="AE15" s="18" t="e">
        <f t="shared" si="0"/>
        <v>#N/A</v>
      </c>
      <c r="AF15" s="96" t="e">
        <f t="shared" si="8"/>
        <v>#N/A</v>
      </c>
      <c r="AG15" s="18" t="e">
        <f t="shared" si="9"/>
        <v>#N/A</v>
      </c>
      <c r="AH15" s="18" t="e">
        <f>IF(OR($AE$4&lt;0,AE15&lt;0),NA(),  Calcs!$B$62*10^(-0.4*Calcs!$B$63*_xlfn.SEC(RADIANS(90-$AE$4)))  *  (1 - 10^(-0.4*Calcs!$B$63*_xlfn.SEC(RADIANS(90-AE15))))  *  (  10^5.36 * (1.06+ (COS(RADIANS(AG15))^2)) + 10^(6.15 - AG15/40) )  )</f>
        <v>#N/A</v>
      </c>
      <c r="AI15" s="220" t="e">
        <f t="shared" si="10"/>
        <v>#N/A</v>
      </c>
      <c r="AJ15" s="65"/>
      <c r="AK15" s="238"/>
      <c r="AL15" s="46" t="e">
        <f t="shared" si="36"/>
        <v>#N/A</v>
      </c>
      <c r="AM15" s="220" t="e">
        <f t="shared" si="11"/>
        <v>#N/A</v>
      </c>
      <c r="AN15" s="68" t="e">
        <f t="shared" si="1"/>
        <v>#N/A</v>
      </c>
      <c r="AO15" s="64" t="e">
        <f t="shared" si="2"/>
        <v>#N/A</v>
      </c>
      <c r="AP15" s="65" t="e">
        <f t="shared" si="3"/>
        <v>#N/A</v>
      </c>
      <c r="AQ15" s="64" t="e">
        <f t="shared" si="4"/>
        <v>#N/A</v>
      </c>
      <c r="AR15" s="64" t="e">
        <f t="shared" si="5"/>
        <v>#N/A</v>
      </c>
      <c r="AS15" s="35" t="e">
        <f t="shared" si="6"/>
        <v>#N/A</v>
      </c>
      <c r="AT15" s="35" t="e">
        <f t="shared" si="7"/>
        <v>#N/A</v>
      </c>
      <c r="AU15" t="e">
        <f t="shared" si="12"/>
        <v>#N/A</v>
      </c>
      <c r="AV15" s="35" t="e">
        <f t="shared" si="13"/>
        <v>#N/A</v>
      </c>
      <c r="AW15" s="47" t="e">
        <f t="shared" si="14"/>
        <v>#N/A</v>
      </c>
      <c r="AY15" s="29">
        <f t="shared" si="37"/>
        <v>4</v>
      </c>
      <c r="AZ15" s="3">
        <f t="shared" si="15"/>
        <v>-45.326971744722989</v>
      </c>
      <c r="BA15" s="3">
        <f t="shared" si="16"/>
        <v>18.298304922470997</v>
      </c>
      <c r="BB15" s="3">
        <f t="shared" si="17"/>
        <v>14.072733806840672</v>
      </c>
      <c r="BC15" s="3">
        <f t="shared" si="18"/>
        <v>34.979099884235815</v>
      </c>
      <c r="BD15" s="3">
        <f t="shared" si="19"/>
        <v>28.869292424821527</v>
      </c>
      <c r="BE15" s="3">
        <f t="shared" si="20"/>
        <v>31.690656978777728</v>
      </c>
      <c r="BF15" s="3">
        <f t="shared" si="21"/>
        <v>-26.498016483828476</v>
      </c>
      <c r="BG15" s="3" t="e">
        <f t="shared" si="22"/>
        <v>#N/A</v>
      </c>
      <c r="BH15" s="3" t="e">
        <f t="shared" si="23"/>
        <v>#N/A</v>
      </c>
      <c r="BI15" s="3" t="e">
        <f t="shared" si="24"/>
        <v>#N/A</v>
      </c>
      <c r="BJ15" s="3" t="e">
        <f t="shared" si="25"/>
        <v>#N/A</v>
      </c>
      <c r="BK15" s="3" t="e">
        <f t="shared" si="26"/>
        <v>#N/A</v>
      </c>
      <c r="BL15" s="3" t="e">
        <f t="shared" si="27"/>
        <v>#N/A</v>
      </c>
      <c r="BM15" s="3" t="e">
        <f t="shared" si="28"/>
        <v>#N/A</v>
      </c>
      <c r="BN15" s="3" t="e">
        <f t="shared" si="29"/>
        <v>#N/A</v>
      </c>
      <c r="BO15" s="3" t="e">
        <f t="shared" si="30"/>
        <v>#N/A</v>
      </c>
      <c r="BP15" s="3" t="e">
        <f t="shared" si="31"/>
        <v>#N/A</v>
      </c>
      <c r="BQ15" s="3" t="e">
        <f t="shared" si="32"/>
        <v>#N/A</v>
      </c>
      <c r="BR15" s="3" t="e">
        <f t="shared" si="33"/>
        <v>#N/A</v>
      </c>
      <c r="BS15" s="3" t="e">
        <f t="shared" si="34"/>
        <v>#N/A</v>
      </c>
      <c r="BT15" s="7" t="e">
        <f t="shared" si="35"/>
        <v>#N/A</v>
      </c>
    </row>
    <row r="16" spans="1:72" x14ac:dyDescent="0.2">
      <c r="A16" s="150" t="s">
        <v>26</v>
      </c>
      <c r="B16" s="192">
        <f>INT(Calcs!B27) + MOD(Calcs!B27,1)*60/100</f>
        <v>7.3228898656409696</v>
      </c>
      <c r="C16" s="151" t="s">
        <v>141</v>
      </c>
      <c r="V16" s="24">
        <v>12</v>
      </c>
      <c r="W16" s="51"/>
      <c r="X16" s="51"/>
      <c r="Y16" s="51"/>
      <c r="Z16" s="51"/>
      <c r="AA16" s="95"/>
      <c r="AB16" s="159"/>
      <c r="AC16" s="230"/>
      <c r="AD16" s="231"/>
      <c r="AE16" s="18" t="e">
        <f t="shared" si="0"/>
        <v>#N/A</v>
      </c>
      <c r="AF16" s="96" t="e">
        <f t="shared" si="8"/>
        <v>#N/A</v>
      </c>
      <c r="AG16" s="18" t="e">
        <f t="shared" si="9"/>
        <v>#N/A</v>
      </c>
      <c r="AH16" s="18" t="e">
        <f>IF(OR($AE$4&lt;0,AE16&lt;0),NA(),  Calcs!$B$62*10^(-0.4*Calcs!$B$63*_xlfn.SEC(RADIANS(90-$AE$4)))  *  (1 - 10^(-0.4*Calcs!$B$63*_xlfn.SEC(RADIANS(90-AE16))))  *  (  10^5.36 * (1.06+ (COS(RADIANS(AG16))^2)) + 10^(6.15 - AG16/40) )  )</f>
        <v>#N/A</v>
      </c>
      <c r="AI16" s="220" t="e">
        <f t="shared" si="10"/>
        <v>#N/A</v>
      </c>
      <c r="AJ16" s="65"/>
      <c r="AK16" s="238"/>
      <c r="AL16" s="46" t="e">
        <f t="shared" si="36"/>
        <v>#N/A</v>
      </c>
      <c r="AM16" s="220" t="e">
        <f t="shared" si="11"/>
        <v>#N/A</v>
      </c>
      <c r="AN16" s="68" t="e">
        <f t="shared" si="1"/>
        <v>#N/A</v>
      </c>
      <c r="AO16" s="64" t="e">
        <f t="shared" si="2"/>
        <v>#N/A</v>
      </c>
      <c r="AP16" s="65" t="e">
        <f t="shared" si="3"/>
        <v>#N/A</v>
      </c>
      <c r="AQ16" s="64" t="e">
        <f t="shared" si="4"/>
        <v>#N/A</v>
      </c>
      <c r="AR16" s="64" t="e">
        <f t="shared" si="5"/>
        <v>#N/A</v>
      </c>
      <c r="AS16" s="35" t="e">
        <f t="shared" si="6"/>
        <v>#N/A</v>
      </c>
      <c r="AT16" s="35" t="e">
        <f t="shared" si="7"/>
        <v>#N/A</v>
      </c>
      <c r="AU16" t="e">
        <f t="shared" si="12"/>
        <v>#N/A</v>
      </c>
      <c r="AV16" s="35" t="e">
        <f t="shared" si="13"/>
        <v>#N/A</v>
      </c>
      <c r="AW16" s="47" t="e">
        <f t="shared" si="14"/>
        <v>#N/A</v>
      </c>
      <c r="AY16" s="29">
        <f t="shared" si="37"/>
        <v>4.5</v>
      </c>
      <c r="AZ16" s="3">
        <f t="shared" si="15"/>
        <v>-51.374523143676782</v>
      </c>
      <c r="BA16" s="3">
        <f t="shared" si="16"/>
        <v>22.219421314842645</v>
      </c>
      <c r="BB16" s="3">
        <f t="shared" si="17"/>
        <v>20.16284129343531</v>
      </c>
      <c r="BC16" s="3">
        <f t="shared" si="18"/>
        <v>37.606828042246747</v>
      </c>
      <c r="BD16" s="3">
        <f t="shared" si="19"/>
        <v>34.024926258051067</v>
      </c>
      <c r="BE16" s="3">
        <f t="shared" si="20"/>
        <v>35.221246927655685</v>
      </c>
      <c r="BF16" s="3">
        <f t="shared" si="21"/>
        <v>-20.195623860504952</v>
      </c>
      <c r="BG16" s="3" t="e">
        <f t="shared" si="22"/>
        <v>#N/A</v>
      </c>
      <c r="BH16" s="3" t="e">
        <f t="shared" si="23"/>
        <v>#N/A</v>
      </c>
      <c r="BI16" s="3" t="e">
        <f t="shared" si="24"/>
        <v>#N/A</v>
      </c>
      <c r="BJ16" s="3" t="e">
        <f t="shared" si="25"/>
        <v>#N/A</v>
      </c>
      <c r="BK16" s="3" t="e">
        <f t="shared" si="26"/>
        <v>#N/A</v>
      </c>
      <c r="BL16" s="3" t="e">
        <f t="shared" si="27"/>
        <v>#N/A</v>
      </c>
      <c r="BM16" s="3" t="e">
        <f t="shared" si="28"/>
        <v>#N/A</v>
      </c>
      <c r="BN16" s="3" t="e">
        <f t="shared" si="29"/>
        <v>#N/A</v>
      </c>
      <c r="BO16" s="3" t="e">
        <f t="shared" si="30"/>
        <v>#N/A</v>
      </c>
      <c r="BP16" s="3" t="e">
        <f t="shared" si="31"/>
        <v>#N/A</v>
      </c>
      <c r="BQ16" s="3" t="e">
        <f t="shared" si="32"/>
        <v>#N/A</v>
      </c>
      <c r="BR16" s="3" t="e">
        <f t="shared" si="33"/>
        <v>#N/A</v>
      </c>
      <c r="BS16" s="3" t="e">
        <f t="shared" si="34"/>
        <v>#N/A</v>
      </c>
      <c r="BT16" s="7" t="e">
        <f t="shared" si="35"/>
        <v>#N/A</v>
      </c>
    </row>
    <row r="17" spans="1:72" x14ac:dyDescent="0.2">
      <c r="A17" s="152"/>
      <c r="B17" s="191"/>
      <c r="C17" s="151"/>
      <c r="V17" s="24">
        <v>13</v>
      </c>
      <c r="W17" s="51"/>
      <c r="X17" s="51"/>
      <c r="Y17" s="51"/>
      <c r="Z17" s="51"/>
      <c r="AA17" s="95"/>
      <c r="AB17" s="159"/>
      <c r="AC17" s="230"/>
      <c r="AD17" s="231"/>
      <c r="AE17" s="18" t="e">
        <f t="shared" si="0"/>
        <v>#N/A</v>
      </c>
      <c r="AF17" s="96" t="e">
        <f t="shared" si="8"/>
        <v>#N/A</v>
      </c>
      <c r="AG17" s="18" t="e">
        <f t="shared" si="9"/>
        <v>#N/A</v>
      </c>
      <c r="AH17" s="18" t="e">
        <f>IF(OR($AE$4&lt;0,AE17&lt;0),NA(),  Calcs!$B$62*10^(-0.4*Calcs!$B$63*_xlfn.SEC(RADIANS(90-$AE$4)))  *  (1 - 10^(-0.4*Calcs!$B$63*_xlfn.SEC(RADIANS(90-AE17))))  *  (  10^5.36 * (1.06+ (COS(RADIANS(AG17))^2)) + 10^(6.15 - AG17/40) )  )</f>
        <v>#N/A</v>
      </c>
      <c r="AI17" s="220" t="e">
        <f t="shared" si="10"/>
        <v>#N/A</v>
      </c>
      <c r="AJ17" s="65"/>
      <c r="AK17" s="238"/>
      <c r="AL17" s="46" t="e">
        <f t="shared" si="36"/>
        <v>#N/A</v>
      </c>
      <c r="AM17" s="220" t="e">
        <f t="shared" si="11"/>
        <v>#N/A</v>
      </c>
      <c r="AN17" s="68" t="e">
        <f t="shared" si="1"/>
        <v>#N/A</v>
      </c>
      <c r="AO17" s="64" t="e">
        <f t="shared" si="2"/>
        <v>#N/A</v>
      </c>
      <c r="AP17" s="65" t="e">
        <f t="shared" si="3"/>
        <v>#N/A</v>
      </c>
      <c r="AQ17" s="64" t="e">
        <f t="shared" si="4"/>
        <v>#N/A</v>
      </c>
      <c r="AR17" s="64" t="e">
        <f t="shared" si="5"/>
        <v>#N/A</v>
      </c>
      <c r="AS17" s="35" t="e">
        <f t="shared" si="6"/>
        <v>#N/A</v>
      </c>
      <c r="AT17" s="35" t="e">
        <f t="shared" si="7"/>
        <v>#N/A</v>
      </c>
      <c r="AU17" t="e">
        <f t="shared" si="12"/>
        <v>#N/A</v>
      </c>
      <c r="AV17" s="35" t="e">
        <f t="shared" si="13"/>
        <v>#N/A</v>
      </c>
      <c r="AW17" s="47" t="e">
        <f t="shared" si="14"/>
        <v>#N/A</v>
      </c>
      <c r="AY17" s="29">
        <f t="shared" si="37"/>
        <v>5</v>
      </c>
      <c r="AZ17" s="3">
        <f t="shared" si="15"/>
        <v>-57.167038369940038</v>
      </c>
      <c r="BA17" s="3">
        <f t="shared" si="16"/>
        <v>26.315868325452403</v>
      </c>
      <c r="BB17" s="3">
        <f t="shared" si="17"/>
        <v>26.342950363891418</v>
      </c>
      <c r="BC17" s="3">
        <f t="shared" si="18"/>
        <v>40.196846571123395</v>
      </c>
      <c r="BD17" s="3">
        <f t="shared" si="19"/>
        <v>39.282957237955749</v>
      </c>
      <c r="BE17" s="3">
        <f t="shared" si="20"/>
        <v>38.785073709125157</v>
      </c>
      <c r="BF17" s="3">
        <f t="shared" si="21"/>
        <v>-13.887183761859296</v>
      </c>
      <c r="BG17" s="3" t="e">
        <f t="shared" si="22"/>
        <v>#N/A</v>
      </c>
      <c r="BH17" s="3" t="e">
        <f t="shared" si="23"/>
        <v>#N/A</v>
      </c>
      <c r="BI17" s="3" t="e">
        <f t="shared" si="24"/>
        <v>#N/A</v>
      </c>
      <c r="BJ17" s="3" t="e">
        <f t="shared" si="25"/>
        <v>#N/A</v>
      </c>
      <c r="BK17" s="3" t="e">
        <f t="shared" si="26"/>
        <v>#N/A</v>
      </c>
      <c r="BL17" s="3" t="e">
        <f t="shared" si="27"/>
        <v>#N/A</v>
      </c>
      <c r="BM17" s="3" t="e">
        <f t="shared" si="28"/>
        <v>#N/A</v>
      </c>
      <c r="BN17" s="3" t="e">
        <f t="shared" si="29"/>
        <v>#N/A</v>
      </c>
      <c r="BO17" s="3" t="e">
        <f t="shared" si="30"/>
        <v>#N/A</v>
      </c>
      <c r="BP17" s="3" t="e">
        <f t="shared" si="31"/>
        <v>#N/A</v>
      </c>
      <c r="BQ17" s="3" t="e">
        <f t="shared" si="32"/>
        <v>#N/A</v>
      </c>
      <c r="BR17" s="3" t="e">
        <f t="shared" si="33"/>
        <v>#N/A</v>
      </c>
      <c r="BS17" s="3" t="e">
        <f t="shared" si="34"/>
        <v>#N/A</v>
      </c>
      <c r="BT17" s="7" t="e">
        <f t="shared" si="35"/>
        <v>#N/A</v>
      </c>
    </row>
    <row r="18" spans="1:72" x14ac:dyDescent="0.2">
      <c r="A18" s="150" t="s">
        <v>20</v>
      </c>
      <c r="B18" s="192">
        <f>INT(Calcs!B37) + MOD(Calcs!B37,1)*60/100</f>
        <v>12.279294009550934</v>
      </c>
      <c r="C18" s="151" t="s">
        <v>141</v>
      </c>
      <c r="V18" s="24">
        <v>14</v>
      </c>
      <c r="W18" s="51"/>
      <c r="X18" s="51"/>
      <c r="Y18" s="51"/>
      <c r="Z18" s="51"/>
      <c r="AA18" s="95"/>
      <c r="AB18" s="159"/>
      <c r="AC18" s="230"/>
      <c r="AD18" s="231"/>
      <c r="AE18" s="18" t="e">
        <f t="shared" si="0"/>
        <v>#N/A</v>
      </c>
      <c r="AF18" s="96" t="e">
        <f t="shared" si="8"/>
        <v>#N/A</v>
      </c>
      <c r="AG18" s="18" t="e">
        <f t="shared" si="9"/>
        <v>#N/A</v>
      </c>
      <c r="AH18" s="18" t="e">
        <f>IF(OR($AE$4&lt;0,AE18&lt;0),NA(),  Calcs!$B$62*10^(-0.4*Calcs!$B$63*_xlfn.SEC(RADIANS(90-$AE$4)))  *  (1 - 10^(-0.4*Calcs!$B$63*_xlfn.SEC(RADIANS(90-AE18))))  *  (  10^5.36 * (1.06+ (COS(RADIANS(AG18))^2)) + 10^(6.15 - AG18/40) )  )</f>
        <v>#N/A</v>
      </c>
      <c r="AI18" s="220" t="e">
        <f t="shared" si="10"/>
        <v>#N/A</v>
      </c>
      <c r="AJ18" s="65"/>
      <c r="AK18" s="238"/>
      <c r="AL18" s="46" t="e">
        <f t="shared" si="36"/>
        <v>#N/A</v>
      </c>
      <c r="AM18" s="220" t="e">
        <f t="shared" si="11"/>
        <v>#N/A</v>
      </c>
      <c r="AN18" s="68" t="e">
        <f t="shared" si="1"/>
        <v>#N/A</v>
      </c>
      <c r="AO18" s="64" t="e">
        <f t="shared" si="2"/>
        <v>#N/A</v>
      </c>
      <c r="AP18" s="65" t="e">
        <f t="shared" si="3"/>
        <v>#N/A</v>
      </c>
      <c r="AQ18" s="64" t="e">
        <f t="shared" si="4"/>
        <v>#N/A</v>
      </c>
      <c r="AR18" s="64" t="e">
        <f t="shared" si="5"/>
        <v>#N/A</v>
      </c>
      <c r="AS18" s="35" t="e">
        <f t="shared" si="6"/>
        <v>#N/A</v>
      </c>
      <c r="AT18" s="35" t="e">
        <f t="shared" si="7"/>
        <v>#N/A</v>
      </c>
      <c r="AU18" t="e">
        <f t="shared" si="12"/>
        <v>#N/A</v>
      </c>
      <c r="AV18" s="35" t="e">
        <f t="shared" si="13"/>
        <v>#N/A</v>
      </c>
      <c r="AW18" s="47" t="e">
        <f t="shared" si="14"/>
        <v>#N/A</v>
      </c>
      <c r="AY18" s="29">
        <f t="shared" si="37"/>
        <v>5.5</v>
      </c>
      <c r="AZ18" s="3">
        <f t="shared" si="15"/>
        <v>-62.518059504067331</v>
      </c>
      <c r="BA18" s="3">
        <f t="shared" si="16"/>
        <v>30.5535837173388</v>
      </c>
      <c r="BB18" s="3">
        <f t="shared" si="17"/>
        <v>32.589709135013081</v>
      </c>
      <c r="BC18" s="3">
        <f t="shared" si="18"/>
        <v>42.703450880219272</v>
      </c>
      <c r="BD18" s="3">
        <f t="shared" si="19"/>
        <v>44.615470026887188</v>
      </c>
      <c r="BE18" s="3">
        <f t="shared" si="20"/>
        <v>42.336186494960842</v>
      </c>
      <c r="BF18" s="3">
        <f t="shared" si="21"/>
        <v>-7.6036913378212381</v>
      </c>
      <c r="BG18" s="3" t="e">
        <f t="shared" si="22"/>
        <v>#N/A</v>
      </c>
      <c r="BH18" s="3" t="e">
        <f t="shared" si="23"/>
        <v>#N/A</v>
      </c>
      <c r="BI18" s="3" t="e">
        <f t="shared" si="24"/>
        <v>#N/A</v>
      </c>
      <c r="BJ18" s="3" t="e">
        <f t="shared" si="25"/>
        <v>#N/A</v>
      </c>
      <c r="BK18" s="3" t="e">
        <f t="shared" si="26"/>
        <v>#N/A</v>
      </c>
      <c r="BL18" s="3" t="e">
        <f t="shared" si="27"/>
        <v>#N/A</v>
      </c>
      <c r="BM18" s="3" t="e">
        <f t="shared" si="28"/>
        <v>#N/A</v>
      </c>
      <c r="BN18" s="3" t="e">
        <f t="shared" si="29"/>
        <v>#N/A</v>
      </c>
      <c r="BO18" s="3" t="e">
        <f t="shared" si="30"/>
        <v>#N/A</v>
      </c>
      <c r="BP18" s="3" t="e">
        <f t="shared" si="31"/>
        <v>#N/A</v>
      </c>
      <c r="BQ18" s="3" t="e">
        <f t="shared" si="32"/>
        <v>#N/A</v>
      </c>
      <c r="BR18" s="3" t="e">
        <f t="shared" si="33"/>
        <v>#N/A</v>
      </c>
      <c r="BS18" s="3" t="e">
        <f t="shared" si="34"/>
        <v>#N/A</v>
      </c>
      <c r="BT18" s="7" t="e">
        <f t="shared" si="35"/>
        <v>#N/A</v>
      </c>
    </row>
    <row r="19" spans="1:72" x14ac:dyDescent="0.2">
      <c r="A19" s="150" t="s">
        <v>21</v>
      </c>
      <c r="B19" s="192">
        <f>INT(Calcs!B38) + MOD(Calcs!B38,1)*60/100</f>
        <v>12.564554208170028</v>
      </c>
      <c r="C19" s="151" t="s">
        <v>141</v>
      </c>
      <c r="V19" s="24">
        <v>15</v>
      </c>
      <c r="W19" s="51"/>
      <c r="X19" s="51"/>
      <c r="Y19" s="51"/>
      <c r="Z19" s="51"/>
      <c r="AA19" s="95"/>
      <c r="AB19" s="159"/>
      <c r="AC19" s="230"/>
      <c r="AD19" s="231"/>
      <c r="AE19" s="18" t="e">
        <f t="shared" si="0"/>
        <v>#N/A</v>
      </c>
      <c r="AF19" s="96" t="e">
        <f t="shared" si="8"/>
        <v>#N/A</v>
      </c>
      <c r="AG19" s="18" t="e">
        <f t="shared" si="9"/>
        <v>#N/A</v>
      </c>
      <c r="AH19" s="18" t="e">
        <f>IF(OR($AE$4&lt;0,AE19&lt;0),NA(),  Calcs!$B$62*10^(-0.4*Calcs!$B$63*_xlfn.SEC(RADIANS(90-$AE$4)))  *  (1 - 10^(-0.4*Calcs!$B$63*_xlfn.SEC(RADIANS(90-AE19))))  *  (  10^5.36 * (1.06+ (COS(RADIANS(AG19))^2)) + 10^(6.15 - AG19/40) )  )</f>
        <v>#N/A</v>
      </c>
      <c r="AI19" s="220" t="e">
        <f t="shared" si="10"/>
        <v>#N/A</v>
      </c>
      <c r="AJ19" s="65"/>
      <c r="AK19" s="238"/>
      <c r="AL19" s="46" t="e">
        <f t="shared" si="36"/>
        <v>#N/A</v>
      </c>
      <c r="AM19" s="220" t="e">
        <f t="shared" si="11"/>
        <v>#N/A</v>
      </c>
      <c r="AN19" s="68" t="e">
        <f t="shared" si="1"/>
        <v>#N/A</v>
      </c>
      <c r="AO19" s="64" t="e">
        <f t="shared" si="2"/>
        <v>#N/A</v>
      </c>
      <c r="AP19" s="65" t="e">
        <f t="shared" si="3"/>
        <v>#N/A</v>
      </c>
      <c r="AQ19" s="64" t="e">
        <f t="shared" si="4"/>
        <v>#N/A</v>
      </c>
      <c r="AR19" s="64" t="e">
        <f t="shared" si="5"/>
        <v>#N/A</v>
      </c>
      <c r="AS19" s="35" t="e">
        <f t="shared" si="6"/>
        <v>#N/A</v>
      </c>
      <c r="AT19" s="35" t="e">
        <f t="shared" si="7"/>
        <v>#N/A</v>
      </c>
      <c r="AU19" t="e">
        <f t="shared" si="12"/>
        <v>#N/A</v>
      </c>
      <c r="AV19" s="35" t="e">
        <f t="shared" si="13"/>
        <v>#N/A</v>
      </c>
      <c r="AW19" s="47" t="e">
        <f t="shared" si="14"/>
        <v>#N/A</v>
      </c>
      <c r="AY19" s="29">
        <f t="shared" si="37"/>
        <v>6</v>
      </c>
      <c r="AZ19" s="3">
        <f t="shared" si="15"/>
        <v>-67.094051739215317</v>
      </c>
      <c r="BA19" s="3">
        <f t="shared" si="16"/>
        <v>34.897876634916116</v>
      </c>
      <c r="BB19" s="3">
        <f t="shared" si="17"/>
        <v>38.88028398561827</v>
      </c>
      <c r="BC19" s="3">
        <f t="shared" si="18"/>
        <v>45.075943951472532</v>
      </c>
      <c r="BD19" s="3">
        <f t="shared" si="19"/>
        <v>49.991887010665558</v>
      </c>
      <c r="BE19" s="3">
        <f t="shared" si="20"/>
        <v>45.820994045597146</v>
      </c>
      <c r="BF19" s="3">
        <f t="shared" si="21"/>
        <v>-1.375069193509286</v>
      </c>
      <c r="BG19" s="3" t="e">
        <f t="shared" si="22"/>
        <v>#N/A</v>
      </c>
      <c r="BH19" s="3" t="e">
        <f t="shared" si="23"/>
        <v>#N/A</v>
      </c>
      <c r="BI19" s="3" t="e">
        <f t="shared" si="24"/>
        <v>#N/A</v>
      </c>
      <c r="BJ19" s="3" t="e">
        <f t="shared" si="25"/>
        <v>#N/A</v>
      </c>
      <c r="BK19" s="3" t="e">
        <f t="shared" si="26"/>
        <v>#N/A</v>
      </c>
      <c r="BL19" s="3" t="e">
        <f t="shared" si="27"/>
        <v>#N/A</v>
      </c>
      <c r="BM19" s="3" t="e">
        <f t="shared" si="28"/>
        <v>#N/A</v>
      </c>
      <c r="BN19" s="3" t="e">
        <f t="shared" si="29"/>
        <v>#N/A</v>
      </c>
      <c r="BO19" s="3" t="e">
        <f t="shared" si="30"/>
        <v>#N/A</v>
      </c>
      <c r="BP19" s="3" t="e">
        <f t="shared" si="31"/>
        <v>#N/A</v>
      </c>
      <c r="BQ19" s="3" t="e">
        <f t="shared" si="32"/>
        <v>#N/A</v>
      </c>
      <c r="BR19" s="3" t="e">
        <f t="shared" si="33"/>
        <v>#N/A</v>
      </c>
      <c r="BS19" s="3" t="e">
        <f t="shared" si="34"/>
        <v>#N/A</v>
      </c>
      <c r="BT19" s="7" t="e">
        <f t="shared" si="35"/>
        <v>#N/A</v>
      </c>
    </row>
    <row r="20" spans="1:72" x14ac:dyDescent="0.2">
      <c r="A20" s="150" t="s">
        <v>19</v>
      </c>
      <c r="B20" s="192">
        <f>INT(Calcs!B39) + MOD(Calcs!B39,1)*60/100</f>
        <v>13.497144726262949</v>
      </c>
      <c r="C20" s="151" t="s">
        <v>141</v>
      </c>
      <c r="K20" s="1"/>
      <c r="V20" s="24">
        <v>16</v>
      </c>
      <c r="W20" s="51"/>
      <c r="X20" s="51"/>
      <c r="Y20" s="51"/>
      <c r="Z20" s="51"/>
      <c r="AA20" s="95"/>
      <c r="AB20" s="159"/>
      <c r="AC20" s="230"/>
      <c r="AD20" s="231"/>
      <c r="AE20" s="18" t="e">
        <f t="shared" si="0"/>
        <v>#N/A</v>
      </c>
      <c r="AF20" s="96" t="e">
        <f t="shared" si="8"/>
        <v>#N/A</v>
      </c>
      <c r="AG20" s="18" t="e">
        <f t="shared" si="9"/>
        <v>#N/A</v>
      </c>
      <c r="AH20" s="18" t="e">
        <f>IF(OR($AE$4&lt;0,AE20&lt;0),NA(),  Calcs!$B$62*10^(-0.4*Calcs!$B$63*_xlfn.SEC(RADIANS(90-$AE$4)))  *  (1 - 10^(-0.4*Calcs!$B$63*_xlfn.SEC(RADIANS(90-AE20))))  *  (  10^5.36 * (1.06+ (COS(RADIANS(AG20))^2)) + 10^(6.15 - AG20/40) )  )</f>
        <v>#N/A</v>
      </c>
      <c r="AI20" s="220" t="e">
        <f t="shared" si="10"/>
        <v>#N/A</v>
      </c>
      <c r="AJ20" s="65"/>
      <c r="AK20" s="238"/>
      <c r="AL20" s="46" t="e">
        <f t="shared" si="36"/>
        <v>#N/A</v>
      </c>
      <c r="AM20" s="220" t="e">
        <f t="shared" si="11"/>
        <v>#N/A</v>
      </c>
      <c r="AN20" s="68" t="e">
        <f t="shared" si="1"/>
        <v>#N/A</v>
      </c>
      <c r="AO20" s="64" t="e">
        <f t="shared" si="2"/>
        <v>#N/A</v>
      </c>
      <c r="AP20" s="65" t="e">
        <f t="shared" si="3"/>
        <v>#N/A</v>
      </c>
      <c r="AQ20" s="64" t="e">
        <f t="shared" si="4"/>
        <v>#N/A</v>
      </c>
      <c r="AR20" s="64" t="e">
        <f t="shared" si="5"/>
        <v>#N/A</v>
      </c>
      <c r="AS20" s="35" t="e">
        <f t="shared" si="6"/>
        <v>#N/A</v>
      </c>
      <c r="AT20" s="35" t="e">
        <f t="shared" si="7"/>
        <v>#N/A</v>
      </c>
      <c r="AU20" t="e">
        <f t="shared" si="12"/>
        <v>#N/A</v>
      </c>
      <c r="AV20" s="35" t="e">
        <f t="shared" si="13"/>
        <v>#N/A</v>
      </c>
      <c r="AW20" s="47" t="e">
        <f t="shared" si="14"/>
        <v>#N/A</v>
      </c>
      <c r="AY20" s="29">
        <f t="shared" si="37"/>
        <v>6.5</v>
      </c>
      <c r="AZ20" s="3">
        <f t="shared" si="15"/>
        <v>-70.328700754037143</v>
      </c>
      <c r="BA20" s="3">
        <f t="shared" si="16"/>
        <v>39.311998069397013</v>
      </c>
      <c r="BB20" s="3">
        <f t="shared" si="17"/>
        <v>45.189878696145513</v>
      </c>
      <c r="BC20" s="3">
        <f t="shared" si="18"/>
        <v>47.258526848611432</v>
      </c>
      <c r="BD20" s="3">
        <f t="shared" si="19"/>
        <v>55.374819833666635</v>
      </c>
      <c r="BE20" s="3">
        <f t="shared" si="20"/>
        <v>49.175254304371236</v>
      </c>
      <c r="BF20" s="3">
        <f t="shared" si="21"/>
        <v>4.7670561774933224</v>
      </c>
      <c r="BG20" s="3" t="e">
        <f t="shared" si="22"/>
        <v>#N/A</v>
      </c>
      <c r="BH20" s="3" t="e">
        <f t="shared" si="23"/>
        <v>#N/A</v>
      </c>
      <c r="BI20" s="3" t="e">
        <f t="shared" si="24"/>
        <v>#N/A</v>
      </c>
      <c r="BJ20" s="3" t="e">
        <f t="shared" si="25"/>
        <v>#N/A</v>
      </c>
      <c r="BK20" s="3" t="e">
        <f t="shared" si="26"/>
        <v>#N/A</v>
      </c>
      <c r="BL20" s="3" t="e">
        <f t="shared" si="27"/>
        <v>#N/A</v>
      </c>
      <c r="BM20" s="3" t="e">
        <f t="shared" si="28"/>
        <v>#N/A</v>
      </c>
      <c r="BN20" s="3" t="e">
        <f t="shared" si="29"/>
        <v>#N/A</v>
      </c>
      <c r="BO20" s="3" t="e">
        <f t="shared" si="30"/>
        <v>#N/A</v>
      </c>
      <c r="BP20" s="3" t="e">
        <f t="shared" si="31"/>
        <v>#N/A</v>
      </c>
      <c r="BQ20" s="3" t="e">
        <f t="shared" si="32"/>
        <v>#N/A</v>
      </c>
      <c r="BR20" s="3" t="e">
        <f t="shared" si="33"/>
        <v>#N/A</v>
      </c>
      <c r="BS20" s="3" t="e">
        <f t="shared" si="34"/>
        <v>#N/A</v>
      </c>
      <c r="BT20" s="7" t="e">
        <f t="shared" si="35"/>
        <v>#N/A</v>
      </c>
    </row>
    <row r="21" spans="1:72" x14ac:dyDescent="0.2">
      <c r="A21" s="150"/>
      <c r="B21" s="191"/>
      <c r="C21" s="151"/>
      <c r="K21" s="1"/>
      <c r="V21" s="24">
        <v>17</v>
      </c>
      <c r="W21" s="51"/>
      <c r="X21" s="51"/>
      <c r="Y21" s="51"/>
      <c r="Z21" s="51"/>
      <c r="AA21" s="95"/>
      <c r="AB21" s="159"/>
      <c r="AC21" s="230"/>
      <c r="AD21" s="231"/>
      <c r="AE21" s="18" t="e">
        <f t="shared" si="0"/>
        <v>#N/A</v>
      </c>
      <c r="AF21" s="96" t="e">
        <f t="shared" si="8"/>
        <v>#N/A</v>
      </c>
      <c r="AG21" s="18" t="e">
        <f t="shared" si="9"/>
        <v>#N/A</v>
      </c>
      <c r="AH21" s="18" t="e">
        <f>IF(OR($AE$4&lt;0,AE21&lt;0),NA(),  Calcs!$B$62*10^(-0.4*Calcs!$B$63*_xlfn.SEC(RADIANS(90-$AE$4)))  *  (1 - 10^(-0.4*Calcs!$B$63*_xlfn.SEC(RADIANS(90-AE21))))  *  (  10^5.36 * (1.06+ (COS(RADIANS(AG21))^2)) + 10^(6.15 - AG21/40) )  )</f>
        <v>#N/A</v>
      </c>
      <c r="AI21" s="220" t="e">
        <f t="shared" si="10"/>
        <v>#N/A</v>
      </c>
      <c r="AJ21" s="65"/>
      <c r="AK21" s="238"/>
      <c r="AL21" s="46" t="e">
        <f t="shared" si="36"/>
        <v>#N/A</v>
      </c>
      <c r="AM21" s="220" t="e">
        <f t="shared" si="11"/>
        <v>#N/A</v>
      </c>
      <c r="AN21" s="68" t="e">
        <f t="shared" si="1"/>
        <v>#N/A</v>
      </c>
      <c r="AO21" s="64" t="e">
        <f t="shared" si="2"/>
        <v>#N/A</v>
      </c>
      <c r="AP21" s="65" t="e">
        <f t="shared" si="3"/>
        <v>#N/A</v>
      </c>
      <c r="AQ21" s="64" t="e">
        <f t="shared" si="4"/>
        <v>#N/A</v>
      </c>
      <c r="AR21" s="64" t="e">
        <f t="shared" si="5"/>
        <v>#N/A</v>
      </c>
      <c r="AS21" s="35" t="e">
        <f t="shared" si="6"/>
        <v>#N/A</v>
      </c>
      <c r="AT21" s="35" t="e">
        <f t="shared" si="7"/>
        <v>#N/A</v>
      </c>
      <c r="AU21" t="e">
        <f t="shared" si="12"/>
        <v>#N/A</v>
      </c>
      <c r="AV21" s="35" t="e">
        <f t="shared" si="13"/>
        <v>#N/A</v>
      </c>
      <c r="AW21" s="47" t="e">
        <f t="shared" si="14"/>
        <v>#N/A</v>
      </c>
      <c r="AY21" s="29">
        <f t="shared" si="37"/>
        <v>7</v>
      </c>
      <c r="AZ21" s="3">
        <f t="shared" si="15"/>
        <v>-71.493655838546616</v>
      </c>
      <c r="BA21" s="3">
        <f t="shared" si="16"/>
        <v>43.754928309480121</v>
      </c>
      <c r="BB21" s="3">
        <f t="shared" si="17"/>
        <v>51.487633478919918</v>
      </c>
      <c r="BC21" s="3">
        <f t="shared" si="18"/>
        <v>49.19104280171436</v>
      </c>
      <c r="BD21" s="3">
        <f t="shared" si="19"/>
        <v>60.711921967302978</v>
      </c>
      <c r="BE21" s="3">
        <f t="shared" si="20"/>
        <v>52.320581388845831</v>
      </c>
      <c r="BF21" s="3">
        <f t="shared" si="21"/>
        <v>10.7867034266584</v>
      </c>
      <c r="BG21" s="3" t="e">
        <f t="shared" si="22"/>
        <v>#N/A</v>
      </c>
      <c r="BH21" s="3" t="e">
        <f t="shared" si="23"/>
        <v>#N/A</v>
      </c>
      <c r="BI21" s="3" t="e">
        <f t="shared" si="24"/>
        <v>#N/A</v>
      </c>
      <c r="BJ21" s="3" t="e">
        <f t="shared" si="25"/>
        <v>#N/A</v>
      </c>
      <c r="BK21" s="3" t="e">
        <f t="shared" si="26"/>
        <v>#N/A</v>
      </c>
      <c r="BL21" s="3" t="e">
        <f t="shared" si="27"/>
        <v>#N/A</v>
      </c>
      <c r="BM21" s="3" t="e">
        <f t="shared" si="28"/>
        <v>#N/A</v>
      </c>
      <c r="BN21" s="3" t="e">
        <f t="shared" si="29"/>
        <v>#N/A</v>
      </c>
      <c r="BO21" s="3" t="e">
        <f t="shared" si="30"/>
        <v>#N/A</v>
      </c>
      <c r="BP21" s="3" t="e">
        <f t="shared" si="31"/>
        <v>#N/A</v>
      </c>
      <c r="BQ21" s="3" t="e">
        <f t="shared" si="32"/>
        <v>#N/A</v>
      </c>
      <c r="BR21" s="3" t="e">
        <f t="shared" si="33"/>
        <v>#N/A</v>
      </c>
      <c r="BS21" s="3" t="e">
        <f t="shared" si="34"/>
        <v>#N/A</v>
      </c>
      <c r="BT21" s="7" t="e">
        <f t="shared" si="35"/>
        <v>#N/A</v>
      </c>
    </row>
    <row r="22" spans="1:72" x14ac:dyDescent="0.2">
      <c r="A22" s="150" t="s">
        <v>83</v>
      </c>
      <c r="B22" s="190">
        <f>Calcs!B58</f>
        <v>9.9900605666627076</v>
      </c>
      <c r="C22" s="151" t="s">
        <v>4</v>
      </c>
      <c r="K22" s="1"/>
      <c r="V22" s="24">
        <v>18</v>
      </c>
      <c r="W22" s="51"/>
      <c r="X22" s="51"/>
      <c r="Y22" s="51"/>
      <c r="Z22" s="51"/>
      <c r="AA22" s="95"/>
      <c r="AB22" s="159"/>
      <c r="AC22" s="230"/>
      <c r="AD22" s="231"/>
      <c r="AE22" s="18" t="e">
        <f t="shared" si="0"/>
        <v>#N/A</v>
      </c>
      <c r="AF22" s="96" t="e">
        <f t="shared" si="8"/>
        <v>#N/A</v>
      </c>
      <c r="AG22" s="18" t="e">
        <f t="shared" si="9"/>
        <v>#N/A</v>
      </c>
      <c r="AH22" s="18" t="e">
        <f>IF(OR($AE$4&lt;0,AE22&lt;0),NA(),  Calcs!$B$62*10^(-0.4*Calcs!$B$63*_xlfn.SEC(RADIANS(90-$AE$4)))  *  (1 - 10^(-0.4*Calcs!$B$63*_xlfn.SEC(RADIANS(90-AE22))))  *  (  10^5.36 * (1.06+ (COS(RADIANS(AG22))^2)) + 10^(6.15 - AG22/40) )  )</f>
        <v>#N/A</v>
      </c>
      <c r="AI22" s="220" t="e">
        <f t="shared" si="10"/>
        <v>#N/A</v>
      </c>
      <c r="AJ22" s="65"/>
      <c r="AK22" s="238"/>
      <c r="AL22" s="46" t="e">
        <f t="shared" si="36"/>
        <v>#N/A</v>
      </c>
      <c r="AM22" s="220" t="e">
        <f t="shared" si="11"/>
        <v>#N/A</v>
      </c>
      <c r="AN22" s="68" t="e">
        <f t="shared" si="1"/>
        <v>#N/A</v>
      </c>
      <c r="AO22" s="64" t="e">
        <f t="shared" si="2"/>
        <v>#N/A</v>
      </c>
      <c r="AP22" s="65" t="e">
        <f t="shared" si="3"/>
        <v>#N/A</v>
      </c>
      <c r="AQ22" s="64" t="e">
        <f t="shared" si="4"/>
        <v>#N/A</v>
      </c>
      <c r="AR22" s="64" t="e">
        <f t="shared" si="5"/>
        <v>#N/A</v>
      </c>
      <c r="AS22" s="35" t="e">
        <f t="shared" si="6"/>
        <v>#N/A</v>
      </c>
      <c r="AT22" s="35" t="e">
        <f t="shared" si="7"/>
        <v>#N/A</v>
      </c>
      <c r="AU22" t="e">
        <f t="shared" si="12"/>
        <v>#N/A</v>
      </c>
      <c r="AV22" s="35" t="e">
        <f t="shared" si="13"/>
        <v>#N/A</v>
      </c>
      <c r="AW22" s="47" t="e">
        <f t="shared" si="14"/>
        <v>#N/A</v>
      </c>
      <c r="AY22" s="29">
        <f t="shared" si="37"/>
        <v>7.5</v>
      </c>
      <c r="AZ22" s="3">
        <f t="shared" si="15"/>
        <v>-70.216608924255567</v>
      </c>
      <c r="BA22" s="3">
        <f t="shared" si="16"/>
        <v>48.177945165043468</v>
      </c>
      <c r="BB22" s="3">
        <f t="shared" si="17"/>
        <v>57.728580409390403</v>
      </c>
      <c r="BC22" s="3">
        <f t="shared" si="18"/>
        <v>50.811114187925128</v>
      </c>
      <c r="BD22" s="3">
        <f t="shared" si="19"/>
        <v>65.918109586289333</v>
      </c>
      <c r="BE22" s="3">
        <f t="shared" si="20"/>
        <v>55.161234648491586</v>
      </c>
      <c r="BF22" s="3">
        <f t="shared" si="21"/>
        <v>16.640636103719942</v>
      </c>
      <c r="BG22" s="3" t="e">
        <f t="shared" si="22"/>
        <v>#N/A</v>
      </c>
      <c r="BH22" s="3" t="e">
        <f t="shared" si="23"/>
        <v>#N/A</v>
      </c>
      <c r="BI22" s="3" t="e">
        <f t="shared" si="24"/>
        <v>#N/A</v>
      </c>
      <c r="BJ22" s="3" t="e">
        <f t="shared" si="25"/>
        <v>#N/A</v>
      </c>
      <c r="BK22" s="3" t="e">
        <f t="shared" si="26"/>
        <v>#N/A</v>
      </c>
      <c r="BL22" s="3" t="e">
        <f t="shared" si="27"/>
        <v>#N/A</v>
      </c>
      <c r="BM22" s="3" t="e">
        <f t="shared" si="28"/>
        <v>#N/A</v>
      </c>
      <c r="BN22" s="3" t="e">
        <f t="shared" si="29"/>
        <v>#N/A</v>
      </c>
      <c r="BO22" s="3" t="e">
        <f t="shared" si="30"/>
        <v>#N/A</v>
      </c>
      <c r="BP22" s="3" t="e">
        <f t="shared" si="31"/>
        <v>#N/A</v>
      </c>
      <c r="BQ22" s="3" t="e">
        <f t="shared" si="32"/>
        <v>#N/A</v>
      </c>
      <c r="BR22" s="3" t="e">
        <f t="shared" si="33"/>
        <v>#N/A</v>
      </c>
      <c r="BS22" s="3" t="e">
        <f t="shared" si="34"/>
        <v>#N/A</v>
      </c>
      <c r="BT22" s="7" t="e">
        <f t="shared" si="35"/>
        <v>#N/A</v>
      </c>
    </row>
    <row r="23" spans="1:72" ht="17" thickBot="1" x14ac:dyDescent="0.25">
      <c r="A23" s="193" t="s">
        <v>201</v>
      </c>
      <c r="B23" s="43">
        <f>Calcs!B59</f>
        <v>7.5810690216125409E-3</v>
      </c>
      <c r="C23" s="194" t="s">
        <v>17</v>
      </c>
      <c r="K23" s="1"/>
      <c r="V23" s="24">
        <v>19</v>
      </c>
      <c r="W23" s="51"/>
      <c r="X23" s="51"/>
      <c r="Y23" s="51"/>
      <c r="Z23" s="51"/>
      <c r="AA23" s="95"/>
      <c r="AB23" s="159"/>
      <c r="AC23" s="230"/>
      <c r="AD23" s="231"/>
      <c r="AE23" s="18" t="e">
        <f t="shared" si="0"/>
        <v>#N/A</v>
      </c>
      <c r="AF23" s="96" t="e">
        <f t="shared" si="8"/>
        <v>#N/A</v>
      </c>
      <c r="AG23" s="18" t="e">
        <f t="shared" si="9"/>
        <v>#N/A</v>
      </c>
      <c r="AH23" s="18" t="e">
        <f>IF(OR($AE$4&lt;0,AE23&lt;0),NA(),  Calcs!$B$62*10^(-0.4*Calcs!$B$63*_xlfn.SEC(RADIANS(90-$AE$4)))  *  (1 - 10^(-0.4*Calcs!$B$63*_xlfn.SEC(RADIANS(90-AE23))))  *  (  10^5.36 * (1.06+ (COS(RADIANS(AG23))^2)) + 10^(6.15 - AG23/40) )  )</f>
        <v>#N/A</v>
      </c>
      <c r="AI23" s="220" t="e">
        <f t="shared" si="10"/>
        <v>#N/A</v>
      </c>
      <c r="AJ23" s="65"/>
      <c r="AK23" s="238"/>
      <c r="AL23" s="46" t="e">
        <f t="shared" si="36"/>
        <v>#N/A</v>
      </c>
      <c r="AM23" s="220" t="e">
        <f t="shared" si="11"/>
        <v>#N/A</v>
      </c>
      <c r="AN23" s="68" t="e">
        <f t="shared" si="1"/>
        <v>#N/A</v>
      </c>
      <c r="AO23" s="64" t="e">
        <f t="shared" si="2"/>
        <v>#N/A</v>
      </c>
      <c r="AP23" s="65" t="e">
        <f t="shared" si="3"/>
        <v>#N/A</v>
      </c>
      <c r="AQ23" s="64" t="e">
        <f t="shared" si="4"/>
        <v>#N/A</v>
      </c>
      <c r="AR23" s="64" t="e">
        <f t="shared" si="5"/>
        <v>#N/A</v>
      </c>
      <c r="AS23" s="35" t="e">
        <f t="shared" si="6"/>
        <v>#N/A</v>
      </c>
      <c r="AT23" s="35" t="e">
        <f t="shared" si="7"/>
        <v>#N/A</v>
      </c>
      <c r="AU23" t="e">
        <f t="shared" si="12"/>
        <v>#N/A</v>
      </c>
      <c r="AV23" s="35" t="e">
        <f t="shared" si="13"/>
        <v>#N/A</v>
      </c>
      <c r="AW23" s="47" t="e">
        <f t="shared" si="14"/>
        <v>#N/A</v>
      </c>
      <c r="AY23" s="29">
        <f t="shared" si="37"/>
        <v>8</v>
      </c>
      <c r="AZ23" s="3">
        <f t="shared" si="15"/>
        <v>-66.902056263995831</v>
      </c>
      <c r="BA23" s="3">
        <f t="shared" si="16"/>
        <v>52.519229338518272</v>
      </c>
      <c r="BB23" s="3">
        <f t="shared" si="17"/>
        <v>63.835384865646787</v>
      </c>
      <c r="BC23" s="3">
        <f t="shared" si="18"/>
        <v>52.058141223279414</v>
      </c>
      <c r="BD23" s="3">
        <f t="shared" si="19"/>
        <v>70.832908286378412</v>
      </c>
      <c r="BE23" s="3">
        <f t="shared" si="20"/>
        <v>57.583150675204422</v>
      </c>
      <c r="BF23" s="3">
        <f t="shared" si="21"/>
        <v>22.27492019599585</v>
      </c>
      <c r="BG23" s="3" t="e">
        <f t="shared" si="22"/>
        <v>#N/A</v>
      </c>
      <c r="BH23" s="3" t="e">
        <f t="shared" si="23"/>
        <v>#N/A</v>
      </c>
      <c r="BI23" s="3" t="e">
        <f t="shared" si="24"/>
        <v>#N/A</v>
      </c>
      <c r="BJ23" s="3" t="e">
        <f t="shared" si="25"/>
        <v>#N/A</v>
      </c>
      <c r="BK23" s="3" t="e">
        <f t="shared" si="26"/>
        <v>#N/A</v>
      </c>
      <c r="BL23" s="3" t="e">
        <f t="shared" si="27"/>
        <v>#N/A</v>
      </c>
      <c r="BM23" s="3" t="e">
        <f t="shared" si="28"/>
        <v>#N/A</v>
      </c>
      <c r="BN23" s="3" t="e">
        <f t="shared" si="29"/>
        <v>#N/A</v>
      </c>
      <c r="BO23" s="3" t="e">
        <f t="shared" si="30"/>
        <v>#N/A</v>
      </c>
      <c r="BP23" s="3" t="e">
        <f t="shared" si="31"/>
        <v>#N/A</v>
      </c>
      <c r="BQ23" s="3" t="e">
        <f t="shared" si="32"/>
        <v>#N/A</v>
      </c>
      <c r="BR23" s="3" t="e">
        <f t="shared" si="33"/>
        <v>#N/A</v>
      </c>
      <c r="BS23" s="3" t="e">
        <f t="shared" si="34"/>
        <v>#N/A</v>
      </c>
      <c r="BT23" s="7" t="e">
        <f t="shared" si="35"/>
        <v>#N/A</v>
      </c>
    </row>
    <row r="24" spans="1:72" ht="17" thickBot="1" x14ac:dyDescent="0.25">
      <c r="V24" s="26">
        <v>20</v>
      </c>
      <c r="W24" s="144"/>
      <c r="X24" s="144"/>
      <c r="Y24" s="144"/>
      <c r="Z24" s="144"/>
      <c r="AA24" s="233"/>
      <c r="AB24" s="234"/>
      <c r="AC24" s="235"/>
      <c r="AD24" s="236"/>
      <c r="AE24" s="148" t="e">
        <f t="shared" si="0"/>
        <v>#N/A</v>
      </c>
      <c r="AF24" s="149" t="e">
        <f t="shared" si="8"/>
        <v>#N/A</v>
      </c>
      <c r="AG24" s="148" t="e">
        <f t="shared" si="9"/>
        <v>#N/A</v>
      </c>
      <c r="AH24" s="148" t="e">
        <f>IF(OR($AE$4&lt;0,AE24&lt;0),NA(),  Calcs!$B$62*10^(-0.4*Calcs!$B$63*_xlfn.SEC(RADIANS(90-$AE$4)))  *  (1 - 10^(-0.4*Calcs!$B$63*_xlfn.SEC(RADIANS(90-AE24))))  *  (  10^5.36 * (1.06+ (COS(RADIANS(AG24))^2)) + 10^(6.15 - AG24/40) )  )</f>
        <v>#N/A</v>
      </c>
      <c r="AI24" s="221" t="e">
        <f t="shared" si="10"/>
        <v>#N/A</v>
      </c>
      <c r="AJ24" s="65"/>
      <c r="AK24" s="239"/>
      <c r="AL24" s="199" t="e">
        <f t="shared" si="36"/>
        <v>#N/A</v>
      </c>
      <c r="AM24" s="221" t="e">
        <f t="shared" si="11"/>
        <v>#N/A</v>
      </c>
      <c r="AN24" s="217" t="e">
        <f t="shared" si="1"/>
        <v>#N/A</v>
      </c>
      <c r="AO24" s="33" t="e">
        <f t="shared" si="2"/>
        <v>#N/A</v>
      </c>
      <c r="AP24" s="32" t="e">
        <f t="shared" si="3"/>
        <v>#N/A</v>
      </c>
      <c r="AQ24" s="33" t="e">
        <f t="shared" si="4"/>
        <v>#N/A</v>
      </c>
      <c r="AR24" s="33" t="e">
        <f t="shared" si="5"/>
        <v>#N/A</v>
      </c>
      <c r="AS24" s="48" t="e">
        <f t="shared" si="6"/>
        <v>#N/A</v>
      </c>
      <c r="AT24" s="48" t="e">
        <f t="shared" si="7"/>
        <v>#N/A</v>
      </c>
      <c r="AU24" s="9" t="e">
        <f t="shared" si="12"/>
        <v>#N/A</v>
      </c>
      <c r="AV24" s="48" t="e">
        <f t="shared" si="13"/>
        <v>#N/A</v>
      </c>
      <c r="AW24" s="49" t="e">
        <f t="shared" si="14"/>
        <v>#N/A</v>
      </c>
      <c r="AY24" s="29">
        <f t="shared" si="37"/>
        <v>8.5</v>
      </c>
      <c r="AZ24" s="3">
        <f t="shared" si="15"/>
        <v>-62.278637111804599</v>
      </c>
      <c r="BA24" s="3">
        <f t="shared" si="16"/>
        <v>56.695349190130884</v>
      </c>
      <c r="BB24" s="3">
        <f t="shared" si="17"/>
        <v>69.650980204558266</v>
      </c>
      <c r="BC24" s="3">
        <f t="shared" si="18"/>
        <v>52.879191058663345</v>
      </c>
      <c r="BD24" s="3">
        <f t="shared" si="19"/>
        <v>75.113377851739074</v>
      </c>
      <c r="BE24" s="3">
        <f t="shared" si="20"/>
        <v>59.458907170209017</v>
      </c>
      <c r="BF24" s="3">
        <f t="shared" si="21"/>
        <v>27.620754141617574</v>
      </c>
      <c r="BG24" s="3" t="e">
        <f t="shared" si="22"/>
        <v>#N/A</v>
      </c>
      <c r="BH24" s="3" t="e">
        <f t="shared" si="23"/>
        <v>#N/A</v>
      </c>
      <c r="BI24" s="3" t="e">
        <f t="shared" si="24"/>
        <v>#N/A</v>
      </c>
      <c r="BJ24" s="3" t="e">
        <f t="shared" si="25"/>
        <v>#N/A</v>
      </c>
      <c r="BK24" s="3" t="e">
        <f t="shared" si="26"/>
        <v>#N/A</v>
      </c>
      <c r="BL24" s="3" t="e">
        <f t="shared" si="27"/>
        <v>#N/A</v>
      </c>
      <c r="BM24" s="3" t="e">
        <f t="shared" si="28"/>
        <v>#N/A</v>
      </c>
      <c r="BN24" s="3" t="e">
        <f t="shared" si="29"/>
        <v>#N/A</v>
      </c>
      <c r="BO24" s="3" t="e">
        <f t="shared" si="30"/>
        <v>#N/A</v>
      </c>
      <c r="BP24" s="3" t="e">
        <f t="shared" si="31"/>
        <v>#N/A</v>
      </c>
      <c r="BQ24" s="3" t="e">
        <f t="shared" si="32"/>
        <v>#N/A</v>
      </c>
      <c r="BR24" s="3" t="e">
        <f t="shared" si="33"/>
        <v>#N/A</v>
      </c>
      <c r="BS24" s="3" t="e">
        <f t="shared" si="34"/>
        <v>#N/A</v>
      </c>
      <c r="BT24" s="7" t="e">
        <f t="shared" si="35"/>
        <v>#N/A</v>
      </c>
    </row>
    <row r="25" spans="1:72" x14ac:dyDescent="0.2">
      <c r="AY25" s="29">
        <f>AY24+0.5</f>
        <v>9</v>
      </c>
      <c r="AZ25" s="3">
        <f t="shared" si="15"/>
        <v>-56.900681184640575</v>
      </c>
      <c r="BA25" s="3">
        <f t="shared" si="16"/>
        <v>60.588212459251345</v>
      </c>
      <c r="BB25" s="3">
        <f t="shared" si="17"/>
        <v>74.801975084918297</v>
      </c>
      <c r="BC25" s="3">
        <f t="shared" si="18"/>
        <v>53.235926885126368</v>
      </c>
      <c r="BD25" s="3">
        <f t="shared" si="19"/>
        <v>78.014984092155714</v>
      </c>
      <c r="BE25" s="3">
        <f t="shared" si="20"/>
        <v>60.663137431885758</v>
      </c>
      <c r="BF25" s="3">
        <f t="shared" si="21"/>
        <v>32.589654161330067</v>
      </c>
      <c r="BG25" s="3" t="e">
        <f t="shared" si="22"/>
        <v>#N/A</v>
      </c>
      <c r="BH25" s="3" t="e">
        <f t="shared" si="23"/>
        <v>#N/A</v>
      </c>
      <c r="BI25" s="3" t="e">
        <f t="shared" si="24"/>
        <v>#N/A</v>
      </c>
      <c r="BJ25" s="3" t="e">
        <f t="shared" si="25"/>
        <v>#N/A</v>
      </c>
      <c r="BK25" s="3" t="e">
        <f t="shared" si="26"/>
        <v>#N/A</v>
      </c>
      <c r="BL25" s="3" t="e">
        <f t="shared" si="27"/>
        <v>#N/A</v>
      </c>
      <c r="BM25" s="3" t="e">
        <f t="shared" si="28"/>
        <v>#N/A</v>
      </c>
      <c r="BN25" s="3" t="e">
        <f t="shared" si="29"/>
        <v>#N/A</v>
      </c>
      <c r="BO25" s="3" t="e">
        <f t="shared" si="30"/>
        <v>#N/A</v>
      </c>
      <c r="BP25" s="3" t="e">
        <f t="shared" si="31"/>
        <v>#N/A</v>
      </c>
      <c r="BQ25" s="3" t="e">
        <f t="shared" si="32"/>
        <v>#N/A</v>
      </c>
      <c r="BR25" s="3" t="e">
        <f t="shared" si="33"/>
        <v>#N/A</v>
      </c>
      <c r="BS25" s="3" t="e">
        <f t="shared" si="34"/>
        <v>#N/A</v>
      </c>
      <c r="BT25" s="7" t="e">
        <f t="shared" si="35"/>
        <v>#N/A</v>
      </c>
    </row>
    <row r="26" spans="1:72" x14ac:dyDescent="0.2">
      <c r="AY26" s="29">
        <f t="shared" si="37"/>
        <v>9.5</v>
      </c>
      <c r="AZ26" s="3">
        <f t="shared" si="15"/>
        <v>-51.092698537767014</v>
      </c>
      <c r="BA26" s="3">
        <f t="shared" si="16"/>
        <v>64.027294080768399</v>
      </c>
      <c r="BB26" s="3">
        <f t="shared" si="17"/>
        <v>78.339606694058972</v>
      </c>
      <c r="BC26" s="3">
        <f t="shared" si="18"/>
        <v>53.110735553971281</v>
      </c>
      <c r="BD26" s="3">
        <f t="shared" si="19"/>
        <v>78.424555349084827</v>
      </c>
      <c r="BE26" s="3">
        <f t="shared" si="20"/>
        <v>61.099316324597531</v>
      </c>
      <c r="BF26" s="3">
        <f t="shared" si="21"/>
        <v>37.068741525266546</v>
      </c>
      <c r="BG26" s="3" t="e">
        <f t="shared" si="22"/>
        <v>#N/A</v>
      </c>
      <c r="BH26" s="3" t="e">
        <f t="shared" si="23"/>
        <v>#N/A</v>
      </c>
      <c r="BI26" s="3" t="e">
        <f t="shared" si="24"/>
        <v>#N/A</v>
      </c>
      <c r="BJ26" s="3" t="e">
        <f t="shared" si="25"/>
        <v>#N/A</v>
      </c>
      <c r="BK26" s="3" t="e">
        <f t="shared" si="26"/>
        <v>#N/A</v>
      </c>
      <c r="BL26" s="3" t="e">
        <f t="shared" si="27"/>
        <v>#N/A</v>
      </c>
      <c r="BM26" s="3" t="e">
        <f t="shared" si="28"/>
        <v>#N/A</v>
      </c>
      <c r="BN26" s="3" t="e">
        <f t="shared" si="29"/>
        <v>#N/A</v>
      </c>
      <c r="BO26" s="3" t="e">
        <f t="shared" si="30"/>
        <v>#N/A</v>
      </c>
      <c r="BP26" s="3" t="e">
        <f t="shared" si="31"/>
        <v>#N/A</v>
      </c>
      <c r="BQ26" s="3" t="e">
        <f t="shared" si="32"/>
        <v>#N/A</v>
      </c>
      <c r="BR26" s="3" t="e">
        <f t="shared" si="33"/>
        <v>#N/A</v>
      </c>
      <c r="BS26" s="3" t="e">
        <f t="shared" si="34"/>
        <v>#N/A</v>
      </c>
      <c r="BT26" s="7" t="e">
        <f t="shared" si="35"/>
        <v>#N/A</v>
      </c>
    </row>
    <row r="27" spans="1:72" x14ac:dyDescent="0.2">
      <c r="AY27" s="29">
        <f>AY26+0.5</f>
        <v>10</v>
      </c>
      <c r="AZ27" s="3">
        <f t="shared" si="15"/>
        <v>-45.03617572231542</v>
      </c>
      <c r="BA27" s="3">
        <f t="shared" si="16"/>
        <v>66.773858956129814</v>
      </c>
      <c r="BB27" s="3">
        <f t="shared" si="17"/>
        <v>78.625233356749746</v>
      </c>
      <c r="BC27" s="3">
        <f t="shared" si="18"/>
        <v>52.509867174583349</v>
      </c>
      <c r="BD27" s="3">
        <f t="shared" si="19"/>
        <v>76.117379534680396</v>
      </c>
      <c r="BE27" s="3">
        <f t="shared" si="20"/>
        <v>60.72879566542332</v>
      </c>
      <c r="BF27" s="3">
        <f t="shared" si="21"/>
        <v>40.91825841885192</v>
      </c>
      <c r="BG27" s="3" t="e">
        <f t="shared" si="22"/>
        <v>#N/A</v>
      </c>
      <c r="BH27" s="3" t="e">
        <f t="shared" si="23"/>
        <v>#N/A</v>
      </c>
      <c r="BI27" s="3" t="e">
        <f t="shared" si="24"/>
        <v>#N/A</v>
      </c>
      <c r="BJ27" s="3" t="e">
        <f t="shared" si="25"/>
        <v>#N/A</v>
      </c>
      <c r="BK27" s="3" t="e">
        <f t="shared" si="26"/>
        <v>#N/A</v>
      </c>
      <c r="BL27" s="3" t="e">
        <f t="shared" si="27"/>
        <v>#N/A</v>
      </c>
      <c r="BM27" s="3" t="e">
        <f t="shared" si="28"/>
        <v>#N/A</v>
      </c>
      <c r="BN27" s="3" t="e">
        <f t="shared" si="29"/>
        <v>#N/A</v>
      </c>
      <c r="BO27" s="3" t="e">
        <f t="shared" si="30"/>
        <v>#N/A</v>
      </c>
      <c r="BP27" s="3" t="e">
        <f t="shared" si="31"/>
        <v>#N/A</v>
      </c>
      <c r="BQ27" s="3" t="e">
        <f t="shared" si="32"/>
        <v>#N/A</v>
      </c>
      <c r="BR27" s="3" t="e">
        <f t="shared" si="33"/>
        <v>#N/A</v>
      </c>
      <c r="BS27" s="3" t="e">
        <f t="shared" si="34"/>
        <v>#N/A</v>
      </c>
      <c r="BT27" s="7" t="e">
        <f t="shared" si="35"/>
        <v>#N/A</v>
      </c>
    </row>
    <row r="28" spans="1:72" x14ac:dyDescent="0.2">
      <c r="AY28" s="29">
        <f t="shared" si="37"/>
        <v>10.5</v>
      </c>
      <c r="AZ28" s="3">
        <f t="shared" si="15"/>
        <v>-38.836731401420941</v>
      </c>
      <c r="BA28" s="3">
        <f t="shared" si="16"/>
        <v>68.533173584161318</v>
      </c>
      <c r="BB28" s="3">
        <f t="shared" si="17"/>
        <v>75.465024115535201</v>
      </c>
      <c r="BC28" s="3">
        <f t="shared" si="18"/>
        <v>51.462297280714168</v>
      </c>
      <c r="BD28" s="3">
        <f t="shared" si="19"/>
        <v>72.126722796924341</v>
      </c>
      <c r="BE28" s="3">
        <f t="shared" si="20"/>
        <v>59.584539516843066</v>
      </c>
      <c r="BF28" s="3">
        <f t="shared" si="21"/>
        <v>43.975602007900157</v>
      </c>
      <c r="BG28" s="3" t="e">
        <f t="shared" si="22"/>
        <v>#N/A</v>
      </c>
      <c r="BH28" s="3" t="e">
        <f t="shared" si="23"/>
        <v>#N/A</v>
      </c>
      <c r="BI28" s="3" t="e">
        <f t="shared" si="24"/>
        <v>#N/A</v>
      </c>
      <c r="BJ28" s="3" t="e">
        <f t="shared" si="25"/>
        <v>#N/A</v>
      </c>
      <c r="BK28" s="3" t="e">
        <f t="shared" si="26"/>
        <v>#N/A</v>
      </c>
      <c r="BL28" s="3" t="e">
        <f t="shared" si="27"/>
        <v>#N/A</v>
      </c>
      <c r="BM28" s="3" t="e">
        <f t="shared" si="28"/>
        <v>#N/A</v>
      </c>
      <c r="BN28" s="3" t="e">
        <f t="shared" si="29"/>
        <v>#N/A</v>
      </c>
      <c r="BO28" s="3" t="e">
        <f t="shared" si="30"/>
        <v>#N/A</v>
      </c>
      <c r="BP28" s="3" t="e">
        <f t="shared" si="31"/>
        <v>#N/A</v>
      </c>
      <c r="BQ28" s="3" t="e">
        <f t="shared" si="32"/>
        <v>#N/A</v>
      </c>
      <c r="BR28" s="3" t="e">
        <f t="shared" si="33"/>
        <v>#N/A</v>
      </c>
      <c r="BS28" s="3" t="e">
        <f t="shared" si="34"/>
        <v>#N/A</v>
      </c>
      <c r="BT28" s="7" t="e">
        <f t="shared" si="35"/>
        <v>#N/A</v>
      </c>
    </row>
    <row r="29" spans="1:72" x14ac:dyDescent="0.2">
      <c r="AY29" s="29">
        <f t="shared" si="37"/>
        <v>11</v>
      </c>
      <c r="AZ29" s="3">
        <f t="shared" si="15"/>
        <v>-32.560526477767652</v>
      </c>
      <c r="BA29" s="3">
        <f t="shared" si="16"/>
        <v>69.039190751152233</v>
      </c>
      <c r="BB29" s="3">
        <f t="shared" si="17"/>
        <v>70.47294524209866</v>
      </c>
      <c r="BC29" s="3">
        <f t="shared" si="18"/>
        <v>50.014791133894867</v>
      </c>
      <c r="BD29" s="3">
        <f t="shared" si="19"/>
        <v>67.343729634676365</v>
      </c>
      <c r="BE29" s="3">
        <f t="shared" si="20"/>
        <v>57.759332804267778</v>
      </c>
      <c r="BF29" s="3">
        <f t="shared" si="21"/>
        <v>46.071834968891622</v>
      </c>
      <c r="BG29" s="3" t="e">
        <f t="shared" si="22"/>
        <v>#N/A</v>
      </c>
      <c r="BH29" s="3" t="e">
        <f t="shared" si="23"/>
        <v>#N/A</v>
      </c>
      <c r="BI29" s="3" t="e">
        <f t="shared" si="24"/>
        <v>#N/A</v>
      </c>
      <c r="BJ29" s="3" t="e">
        <f t="shared" si="25"/>
        <v>#N/A</v>
      </c>
      <c r="BK29" s="3" t="e">
        <f t="shared" si="26"/>
        <v>#N/A</v>
      </c>
      <c r="BL29" s="3" t="e">
        <f t="shared" si="27"/>
        <v>#N/A</v>
      </c>
      <c r="BM29" s="3" t="e">
        <f t="shared" si="28"/>
        <v>#N/A</v>
      </c>
      <c r="BN29" s="3" t="e">
        <f t="shared" si="29"/>
        <v>#N/A</v>
      </c>
      <c r="BO29" s="3" t="e">
        <f t="shared" si="30"/>
        <v>#N/A</v>
      </c>
      <c r="BP29" s="3" t="e">
        <f t="shared" si="31"/>
        <v>#N/A</v>
      </c>
      <c r="BQ29" s="3" t="e">
        <f t="shared" si="32"/>
        <v>#N/A</v>
      </c>
      <c r="BR29" s="3" t="e">
        <f t="shared" si="33"/>
        <v>#N/A</v>
      </c>
      <c r="BS29" s="3" t="e">
        <f t="shared" si="34"/>
        <v>#N/A</v>
      </c>
      <c r="BT29" s="7" t="e">
        <f t="shared" si="35"/>
        <v>#N/A</v>
      </c>
    </row>
    <row r="30" spans="1:72" x14ac:dyDescent="0.2">
      <c r="AY30" s="29">
        <f t="shared" si="37"/>
        <v>11.5</v>
      </c>
      <c r="AZ30" s="3">
        <f t="shared" si="15"/>
        <v>-26.252976378463654</v>
      </c>
      <c r="BA30" s="3">
        <f t="shared" si="16"/>
        <v>68.200334765662973</v>
      </c>
      <c r="BB30" s="3">
        <f t="shared" si="17"/>
        <v>64.724078748205827</v>
      </c>
      <c r="BC30" s="3">
        <f t="shared" si="18"/>
        <v>48.225084631710232</v>
      </c>
      <c r="BD30" s="3">
        <f t="shared" si="19"/>
        <v>62.198404880934056</v>
      </c>
      <c r="BE30" s="3">
        <f t="shared" si="20"/>
        <v>55.377308835724392</v>
      </c>
      <c r="BF30" s="3">
        <f t="shared" si="21"/>
        <v>47.063889103458642</v>
      </c>
      <c r="BG30" s="3" t="e">
        <f t="shared" si="22"/>
        <v>#N/A</v>
      </c>
      <c r="BH30" s="3" t="e">
        <f t="shared" si="23"/>
        <v>#N/A</v>
      </c>
      <c r="BI30" s="3" t="e">
        <f t="shared" si="24"/>
        <v>#N/A</v>
      </c>
      <c r="BJ30" s="3" t="e">
        <f t="shared" si="25"/>
        <v>#N/A</v>
      </c>
      <c r="BK30" s="3" t="e">
        <f t="shared" si="26"/>
        <v>#N/A</v>
      </c>
      <c r="BL30" s="3" t="e">
        <f t="shared" si="27"/>
        <v>#N/A</v>
      </c>
      <c r="BM30" s="3" t="e">
        <f t="shared" si="28"/>
        <v>#N/A</v>
      </c>
      <c r="BN30" s="3" t="e">
        <f t="shared" si="29"/>
        <v>#N/A</v>
      </c>
      <c r="BO30" s="3" t="e">
        <f t="shared" si="30"/>
        <v>#N/A</v>
      </c>
      <c r="BP30" s="3" t="e">
        <f t="shared" si="31"/>
        <v>#N/A</v>
      </c>
      <c r="BQ30" s="3" t="e">
        <f t="shared" si="32"/>
        <v>#N/A</v>
      </c>
      <c r="BR30" s="3" t="e">
        <f t="shared" si="33"/>
        <v>#N/A</v>
      </c>
      <c r="BS30" s="3" t="e">
        <f t="shared" si="34"/>
        <v>#N/A</v>
      </c>
      <c r="BT30" s="7" t="e">
        <f t="shared" si="35"/>
        <v>#N/A</v>
      </c>
    </row>
    <row r="31" spans="1:72" x14ac:dyDescent="0.2">
      <c r="AY31" s="29">
        <f t="shared" si="37"/>
        <v>12</v>
      </c>
      <c r="AZ31" s="3">
        <f t="shared" si="15"/>
        <v>-19.948689835251908</v>
      </c>
      <c r="BA31" s="3">
        <f t="shared" si="16"/>
        <v>66.164423855894853</v>
      </c>
      <c r="BB31" s="3">
        <f t="shared" si="17"/>
        <v>58.647618507653206</v>
      </c>
      <c r="BC31" s="3">
        <f t="shared" si="18"/>
        <v>46.155321850360998</v>
      </c>
      <c r="BD31" s="3">
        <f t="shared" si="19"/>
        <v>56.887470517054616</v>
      </c>
      <c r="BE31" s="3">
        <f t="shared" si="20"/>
        <v>52.566469426280179</v>
      </c>
      <c r="BF31" s="3">
        <f t="shared" si="21"/>
        <v>46.874574655078369</v>
      </c>
      <c r="BG31" s="3" t="e">
        <f t="shared" si="22"/>
        <v>#N/A</v>
      </c>
      <c r="BH31" s="3" t="e">
        <f t="shared" si="23"/>
        <v>#N/A</v>
      </c>
      <c r="BI31" s="3" t="e">
        <f t="shared" si="24"/>
        <v>#N/A</v>
      </c>
      <c r="BJ31" s="3" t="e">
        <f t="shared" si="25"/>
        <v>#N/A</v>
      </c>
      <c r="BK31" s="3" t="e">
        <f t="shared" si="26"/>
        <v>#N/A</v>
      </c>
      <c r="BL31" s="3" t="e">
        <f t="shared" si="27"/>
        <v>#N/A</v>
      </c>
      <c r="BM31" s="3" t="e">
        <f t="shared" si="28"/>
        <v>#N/A</v>
      </c>
      <c r="BN31" s="3" t="e">
        <f t="shared" si="29"/>
        <v>#N/A</v>
      </c>
      <c r="BO31" s="3" t="e">
        <f t="shared" si="30"/>
        <v>#N/A</v>
      </c>
      <c r="BP31" s="3" t="e">
        <f t="shared" si="31"/>
        <v>#N/A</v>
      </c>
      <c r="BQ31" s="3" t="e">
        <f t="shared" si="32"/>
        <v>#N/A</v>
      </c>
      <c r="BR31" s="3" t="e">
        <f t="shared" si="33"/>
        <v>#N/A</v>
      </c>
      <c r="BS31" s="3" t="e">
        <f t="shared" si="34"/>
        <v>#N/A</v>
      </c>
      <c r="BT31" s="7" t="e">
        <f t="shared" si="35"/>
        <v>#N/A</v>
      </c>
    </row>
    <row r="32" spans="1:72" x14ac:dyDescent="0.2">
      <c r="AQ32" s="1"/>
      <c r="AR32" s="1"/>
      <c r="AS32" s="1"/>
      <c r="AY32" s="29">
        <f t="shared" si="37"/>
        <v>12.5</v>
      </c>
      <c r="AZ32" s="3">
        <f t="shared" si="15"/>
        <v>-13.677150992021119</v>
      </c>
      <c r="BA32" s="3">
        <f t="shared" si="16"/>
        <v>63.217548843054644</v>
      </c>
      <c r="BB32" s="3">
        <f t="shared" si="17"/>
        <v>52.42054520575148</v>
      </c>
      <c r="BC32" s="3">
        <f t="shared" si="18"/>
        <v>43.867103541895716</v>
      </c>
      <c r="BD32" s="3">
        <f t="shared" si="19"/>
        <v>51.511202291128832</v>
      </c>
      <c r="BE32" s="3">
        <f t="shared" si="20"/>
        <v>49.442274355719903</v>
      </c>
      <c r="BF32" s="3">
        <f t="shared" si="21"/>
        <v>45.519140741222742</v>
      </c>
      <c r="BG32" s="3" t="e">
        <f t="shared" si="22"/>
        <v>#N/A</v>
      </c>
      <c r="BH32" s="3" t="e">
        <f t="shared" si="23"/>
        <v>#N/A</v>
      </c>
      <c r="BI32" s="3" t="e">
        <f t="shared" si="24"/>
        <v>#N/A</v>
      </c>
      <c r="BJ32" s="3" t="e">
        <f t="shared" si="25"/>
        <v>#N/A</v>
      </c>
      <c r="BK32" s="3" t="e">
        <f t="shared" si="26"/>
        <v>#N/A</v>
      </c>
      <c r="BL32" s="3" t="e">
        <f t="shared" si="27"/>
        <v>#N/A</v>
      </c>
      <c r="BM32" s="3" t="e">
        <f t="shared" si="28"/>
        <v>#N/A</v>
      </c>
      <c r="BN32" s="3" t="e">
        <f t="shared" si="29"/>
        <v>#N/A</v>
      </c>
      <c r="BO32" s="3" t="e">
        <f t="shared" si="30"/>
        <v>#N/A</v>
      </c>
      <c r="BP32" s="3" t="e">
        <f t="shared" si="31"/>
        <v>#N/A</v>
      </c>
      <c r="BQ32" s="3" t="e">
        <f t="shared" si="32"/>
        <v>#N/A</v>
      </c>
      <c r="BR32" s="3" t="e">
        <f t="shared" si="33"/>
        <v>#N/A</v>
      </c>
      <c r="BS32" s="3" t="e">
        <f t="shared" si="34"/>
        <v>#N/A</v>
      </c>
      <c r="BT32" s="7" t="e">
        <f t="shared" si="35"/>
        <v>#N/A</v>
      </c>
    </row>
    <row r="33" spans="2:72" x14ac:dyDescent="0.2">
      <c r="AQ33" s="1"/>
      <c r="AR33" s="1"/>
      <c r="AS33" s="1"/>
      <c r="AY33" s="29">
        <f t="shared" si="37"/>
        <v>13</v>
      </c>
      <c r="AZ33" s="3">
        <f t="shared" si="15"/>
        <v>-7.4663449551510865</v>
      </c>
      <c r="BA33" s="3">
        <f t="shared" si="16"/>
        <v>59.644793809818381</v>
      </c>
      <c r="BB33" s="3">
        <f t="shared" si="17"/>
        <v>46.127887286932079</v>
      </c>
      <c r="BC33" s="3">
        <f t="shared" si="18"/>
        <v>41.418494856382686</v>
      </c>
      <c r="BD33" s="3">
        <f t="shared" si="19"/>
        <v>46.128717110439389</v>
      </c>
      <c r="BE33" s="3">
        <f t="shared" si="20"/>
        <v>46.101982259342314</v>
      </c>
      <c r="BF33" s="3">
        <f t="shared" si="21"/>
        <v>43.099750003082008</v>
      </c>
      <c r="BG33" s="3" t="e">
        <f t="shared" si="22"/>
        <v>#N/A</v>
      </c>
      <c r="BH33" s="3" t="e">
        <f t="shared" si="23"/>
        <v>#N/A</v>
      </c>
      <c r="BI33" s="3" t="e">
        <f t="shared" si="24"/>
        <v>#N/A</v>
      </c>
      <c r="BJ33" s="3" t="e">
        <f t="shared" si="25"/>
        <v>#N/A</v>
      </c>
      <c r="BK33" s="3" t="e">
        <f t="shared" si="26"/>
        <v>#N/A</v>
      </c>
      <c r="BL33" s="3" t="e">
        <f t="shared" si="27"/>
        <v>#N/A</v>
      </c>
      <c r="BM33" s="3" t="e">
        <f t="shared" si="28"/>
        <v>#N/A</v>
      </c>
      <c r="BN33" s="3" t="e">
        <f t="shared" si="29"/>
        <v>#N/A</v>
      </c>
      <c r="BO33" s="3" t="e">
        <f t="shared" si="30"/>
        <v>#N/A</v>
      </c>
      <c r="BP33" s="3" t="e">
        <f t="shared" si="31"/>
        <v>#N/A</v>
      </c>
      <c r="BQ33" s="3" t="e">
        <f t="shared" si="32"/>
        <v>#N/A</v>
      </c>
      <c r="BR33" s="3" t="e">
        <f t="shared" si="33"/>
        <v>#N/A</v>
      </c>
      <c r="BS33" s="3" t="e">
        <f t="shared" si="34"/>
        <v>#N/A</v>
      </c>
      <c r="BT33" s="7" t="e">
        <f t="shared" si="35"/>
        <v>#N/A</v>
      </c>
    </row>
    <row r="34" spans="2:72" x14ac:dyDescent="0.2">
      <c r="AQ34" s="1"/>
      <c r="AR34" s="1"/>
      <c r="AS34" s="1"/>
      <c r="AY34" s="29">
        <f t="shared" si="37"/>
        <v>13.5</v>
      </c>
      <c r="AZ34" s="3">
        <f t="shared" si="15"/>
        <v>-1.3454404045085029</v>
      </c>
      <c r="BA34" s="3">
        <f t="shared" si="16"/>
        <v>55.667093353228054</v>
      </c>
      <c r="BB34" s="3">
        <f t="shared" si="17"/>
        <v>39.81787670330543</v>
      </c>
      <c r="BC34" s="3">
        <f t="shared" si="18"/>
        <v>38.862679226057644</v>
      </c>
      <c r="BD34" s="3">
        <f t="shared" si="19"/>
        <v>40.780531138018766</v>
      </c>
      <c r="BE34" s="3">
        <f t="shared" si="20"/>
        <v>42.625294991370346</v>
      </c>
      <c r="BF34" s="3">
        <f t="shared" si="21"/>
        <v>39.771990881934499</v>
      </c>
      <c r="BG34" s="3" t="e">
        <f t="shared" si="22"/>
        <v>#N/A</v>
      </c>
      <c r="BH34" s="3" t="e">
        <f t="shared" si="23"/>
        <v>#N/A</v>
      </c>
      <c r="BI34" s="3" t="e">
        <f t="shared" si="24"/>
        <v>#N/A</v>
      </c>
      <c r="BJ34" s="3" t="e">
        <f t="shared" si="25"/>
        <v>#N/A</v>
      </c>
      <c r="BK34" s="3" t="e">
        <f t="shared" si="26"/>
        <v>#N/A</v>
      </c>
      <c r="BL34" s="3" t="e">
        <f t="shared" si="27"/>
        <v>#N/A</v>
      </c>
      <c r="BM34" s="3" t="e">
        <f t="shared" si="28"/>
        <v>#N/A</v>
      </c>
      <c r="BN34" s="3" t="e">
        <f t="shared" si="29"/>
        <v>#N/A</v>
      </c>
      <c r="BO34" s="3" t="e">
        <f t="shared" si="30"/>
        <v>#N/A</v>
      </c>
      <c r="BP34" s="3" t="e">
        <f t="shared" si="31"/>
        <v>#N/A</v>
      </c>
      <c r="BQ34" s="3" t="e">
        <f t="shared" si="32"/>
        <v>#N/A</v>
      </c>
      <c r="BR34" s="3" t="e">
        <f t="shared" si="33"/>
        <v>#N/A</v>
      </c>
      <c r="BS34" s="3" t="e">
        <f t="shared" si="34"/>
        <v>#N/A</v>
      </c>
      <c r="BT34" s="7" t="e">
        <f t="shared" si="35"/>
        <v>#N/A</v>
      </c>
    </row>
    <row r="35" spans="2:72" x14ac:dyDescent="0.2">
      <c r="AQ35" s="1"/>
      <c r="AR35" s="1"/>
      <c r="AS35" s="1"/>
      <c r="AY35" s="29">
        <f t="shared" si="37"/>
        <v>14</v>
      </c>
      <c r="AZ35" s="3">
        <f t="shared" si="15"/>
        <v>4.652859215761362</v>
      </c>
      <c r="BA35" s="3">
        <f t="shared" si="16"/>
        <v>51.439989162197541</v>
      </c>
      <c r="BB35" s="3">
        <f t="shared" si="17"/>
        <v>33.52281515936123</v>
      </c>
      <c r="BC35" s="3">
        <f t="shared" si="18"/>
        <v>36.247718991218576</v>
      </c>
      <c r="BD35" s="3">
        <f t="shared" si="19"/>
        <v>35.49860758309417</v>
      </c>
      <c r="BE35" s="3">
        <f t="shared" si="20"/>
        <v>39.077479710892518</v>
      </c>
      <c r="BF35" s="3">
        <f t="shared" si="21"/>
        <v>35.705549180440443</v>
      </c>
      <c r="BG35" s="3" t="e">
        <f t="shared" si="22"/>
        <v>#N/A</v>
      </c>
      <c r="BH35" s="3" t="e">
        <f t="shared" si="23"/>
        <v>#N/A</v>
      </c>
      <c r="BI35" s="3" t="e">
        <f t="shared" si="24"/>
        <v>#N/A</v>
      </c>
      <c r="BJ35" s="3" t="e">
        <f t="shared" si="25"/>
        <v>#N/A</v>
      </c>
      <c r="BK35" s="3" t="e">
        <f t="shared" si="26"/>
        <v>#N/A</v>
      </c>
      <c r="BL35" s="3" t="e">
        <f t="shared" si="27"/>
        <v>#N/A</v>
      </c>
      <c r="BM35" s="3" t="e">
        <f t="shared" si="28"/>
        <v>#N/A</v>
      </c>
      <c r="BN35" s="3" t="e">
        <f t="shared" si="29"/>
        <v>#N/A</v>
      </c>
      <c r="BO35" s="3" t="e">
        <f t="shared" si="30"/>
        <v>#N/A</v>
      </c>
      <c r="BP35" s="3" t="e">
        <f t="shared" si="31"/>
        <v>#N/A</v>
      </c>
      <c r="BQ35" s="3" t="e">
        <f t="shared" si="32"/>
        <v>#N/A</v>
      </c>
      <c r="BR35" s="3" t="e">
        <f t="shared" si="33"/>
        <v>#N/A</v>
      </c>
      <c r="BS35" s="3" t="e">
        <f t="shared" si="34"/>
        <v>#N/A</v>
      </c>
      <c r="BT35" s="7" t="e">
        <f t="shared" si="35"/>
        <v>#N/A</v>
      </c>
    </row>
    <row r="36" spans="2:72" x14ac:dyDescent="0.2">
      <c r="AQ36" s="1"/>
      <c r="AR36" s="1"/>
      <c r="AS36" s="1"/>
      <c r="AY36" s="29">
        <f t="shared" si="37"/>
        <v>14.5</v>
      </c>
      <c r="AZ36" s="3">
        <f t="shared" si="15"/>
        <v>10.489921292141169</v>
      </c>
      <c r="BA36" s="3">
        <f t="shared" si="16"/>
        <v>47.07134737327312</v>
      </c>
      <c r="BB36" s="3">
        <f t="shared" si="17"/>
        <v>27.268081548068725</v>
      </c>
      <c r="BC36" s="3">
        <f t="shared" si="18"/>
        <v>33.616928252622749</v>
      </c>
      <c r="BD36" s="3">
        <f t="shared" si="19"/>
        <v>30.31132025615328</v>
      </c>
      <c r="BE36" s="3">
        <f t="shared" si="20"/>
        <v>35.512879212177481</v>
      </c>
      <c r="BF36" s="3">
        <f t="shared" si="21"/>
        <v>31.056839171079158</v>
      </c>
      <c r="BG36" s="3" t="e">
        <f t="shared" si="22"/>
        <v>#N/A</v>
      </c>
      <c r="BH36" s="3" t="e">
        <f t="shared" si="23"/>
        <v>#N/A</v>
      </c>
      <c r="BI36" s="3" t="e">
        <f t="shared" si="24"/>
        <v>#N/A</v>
      </c>
      <c r="BJ36" s="3" t="e">
        <f t="shared" si="25"/>
        <v>#N/A</v>
      </c>
      <c r="BK36" s="3" t="e">
        <f t="shared" si="26"/>
        <v>#N/A</v>
      </c>
      <c r="BL36" s="3" t="e">
        <f t="shared" si="27"/>
        <v>#N/A</v>
      </c>
      <c r="BM36" s="3" t="e">
        <f t="shared" si="28"/>
        <v>#N/A</v>
      </c>
      <c r="BN36" s="3" t="e">
        <f t="shared" si="29"/>
        <v>#N/A</v>
      </c>
      <c r="BO36" s="3" t="e">
        <f t="shared" si="30"/>
        <v>#N/A</v>
      </c>
      <c r="BP36" s="3" t="e">
        <f t="shared" si="31"/>
        <v>#N/A</v>
      </c>
      <c r="BQ36" s="3" t="e">
        <f t="shared" si="32"/>
        <v>#N/A</v>
      </c>
      <c r="BR36" s="3" t="e">
        <f t="shared" si="33"/>
        <v>#N/A</v>
      </c>
      <c r="BS36" s="3" t="e">
        <f t="shared" si="34"/>
        <v>#N/A</v>
      </c>
      <c r="BT36" s="7" t="e">
        <f t="shared" si="35"/>
        <v>#N/A</v>
      </c>
    </row>
    <row r="37" spans="2:72" ht="17" thickBot="1" x14ac:dyDescent="0.25">
      <c r="AQ37" s="1"/>
      <c r="AR37" s="1"/>
      <c r="AS37" s="1"/>
      <c r="AY37" s="30">
        <f t="shared" si="37"/>
        <v>15</v>
      </c>
      <c r="AZ37" s="10">
        <f t="shared" si="15"/>
        <v>16.118498732643513</v>
      </c>
      <c r="BA37" s="10">
        <f t="shared" si="16"/>
        <v>42.63814113198044</v>
      </c>
      <c r="BB37" s="10">
        <f t="shared" si="17"/>
        <v>21.076619594071673</v>
      </c>
      <c r="BC37" s="10">
        <f t="shared" si="18"/>
        <v>31.0095036782383</v>
      </c>
      <c r="BD37" s="10">
        <f t="shared" si="19"/>
        <v>25.246187402639872</v>
      </c>
      <c r="BE37" s="10">
        <f t="shared" si="20"/>
        <v>31.977973550653306</v>
      </c>
      <c r="BF37" s="10">
        <f t="shared" si="21"/>
        <v>25.957086744826501</v>
      </c>
      <c r="BG37" s="10" t="e">
        <f t="shared" si="22"/>
        <v>#N/A</v>
      </c>
      <c r="BH37" s="10" t="e">
        <f t="shared" si="23"/>
        <v>#N/A</v>
      </c>
      <c r="BI37" s="10" t="e">
        <f t="shared" si="24"/>
        <v>#N/A</v>
      </c>
      <c r="BJ37" s="10" t="e">
        <f t="shared" si="25"/>
        <v>#N/A</v>
      </c>
      <c r="BK37" s="10" t="e">
        <f t="shared" si="26"/>
        <v>#N/A</v>
      </c>
      <c r="BL37" s="10" t="e">
        <f t="shared" si="27"/>
        <v>#N/A</v>
      </c>
      <c r="BM37" s="10" t="e">
        <f t="shared" si="28"/>
        <v>#N/A</v>
      </c>
      <c r="BN37" s="10" t="e">
        <f t="shared" si="29"/>
        <v>#N/A</v>
      </c>
      <c r="BO37" s="10" t="e">
        <f t="shared" si="30"/>
        <v>#N/A</v>
      </c>
      <c r="BP37" s="10" t="e">
        <f t="shared" si="31"/>
        <v>#N/A</v>
      </c>
      <c r="BQ37" s="10" t="e">
        <f t="shared" si="32"/>
        <v>#N/A</v>
      </c>
      <c r="BR37" s="10" t="e">
        <f t="shared" si="33"/>
        <v>#N/A</v>
      </c>
      <c r="BS37" s="10" t="e">
        <f t="shared" si="34"/>
        <v>#N/A</v>
      </c>
      <c r="BT37" s="11" t="e">
        <f t="shared" si="35"/>
        <v>#N/A</v>
      </c>
    </row>
    <row r="38" spans="2:72" x14ac:dyDescent="0.2">
      <c r="B38" s="1"/>
      <c r="AQ38" s="1"/>
      <c r="AR38" s="1"/>
      <c r="AS38" s="1"/>
    </row>
    <row r="39" spans="2:72" ht="17" thickBot="1" x14ac:dyDescent="0.25">
      <c r="AQ39" s="1"/>
      <c r="AR39" s="1"/>
      <c r="AS39" s="1"/>
      <c r="AU39" s="1"/>
      <c r="AV39" s="1"/>
      <c r="AW39" s="1"/>
      <c r="AX39" s="1"/>
      <c r="AY39" s="1"/>
      <c r="AZ39" s="1"/>
    </row>
    <row r="40" spans="2:72" ht="17" thickBot="1" x14ac:dyDescent="0.25">
      <c r="AQ40" s="1"/>
      <c r="AR40" s="1"/>
      <c r="AS40" s="1"/>
      <c r="AU40" s="1"/>
      <c r="AV40" s="1"/>
      <c r="AW40" s="1"/>
      <c r="AX40" s="1"/>
      <c r="AZ40" s="307" t="s">
        <v>99</v>
      </c>
      <c r="BA40" s="308"/>
      <c r="BB40" s="308"/>
      <c r="BC40" s="309"/>
      <c r="BF40" s="301" t="s">
        <v>11</v>
      </c>
      <c r="BG40" s="302"/>
      <c r="BH40" s="302"/>
      <c r="BI40" s="303"/>
      <c r="BJ40" s="1"/>
      <c r="BK40" s="1"/>
      <c r="BL40" s="1"/>
    </row>
    <row r="41" spans="2:72" x14ac:dyDescent="0.2">
      <c r="AQ41" s="1"/>
      <c r="AR41" s="1"/>
      <c r="AS41" s="1"/>
      <c r="AU41" s="1"/>
      <c r="AV41" s="1"/>
      <c r="AW41" s="1"/>
      <c r="AX41" s="1"/>
      <c r="AY41" s="69" t="s">
        <v>38</v>
      </c>
      <c r="AZ41" s="70" t="s">
        <v>0</v>
      </c>
      <c r="BA41" s="70" t="s">
        <v>5</v>
      </c>
      <c r="BB41" s="70" t="s">
        <v>6</v>
      </c>
      <c r="BC41" s="70" t="s">
        <v>28</v>
      </c>
      <c r="BD41" s="71" t="s">
        <v>29</v>
      </c>
      <c r="BE41" s="1"/>
      <c r="BF41" s="40" t="s">
        <v>28</v>
      </c>
      <c r="BG41" s="2" t="s">
        <v>29</v>
      </c>
      <c r="BH41" s="297" t="s">
        <v>30</v>
      </c>
      <c r="BI41" s="298"/>
      <c r="BJ41" s="1"/>
      <c r="BL41" s="1"/>
      <c r="BM41" s="1"/>
    </row>
    <row r="42" spans="2:72" x14ac:dyDescent="0.2">
      <c r="AQ42" s="1"/>
      <c r="AR42" s="1"/>
      <c r="AS42" s="1"/>
      <c r="AU42" s="1"/>
      <c r="AV42" s="1"/>
      <c r="AW42" s="1"/>
      <c r="AX42" s="1"/>
      <c r="AY42" s="72">
        <v>0</v>
      </c>
      <c r="AZ42" s="65">
        <f>$B$6 - Calcs!AG57/15</f>
        <v>11.289495387580338</v>
      </c>
      <c r="BA42" s="64">
        <f>MOD(-180/PI()*ATAN2(-SIN(RADIANS($B$3))*COS(RADIANS(Calcs!AH57))*COS(RADIANS(15*AZ42))+COS(RADIANS($B$3))*SIN(RADIANS(Calcs!AH57)),COS(RADIANS(Calcs!AH57))*SIN(RADIANS(15*AZ42))),360)</f>
        <v>355.13598568714428</v>
      </c>
      <c r="BB42" s="64">
        <f>180/PI()*ASIN(SIN(RADIANS($B$3))*SIN(RADIANS(Calcs!AH57))+COS(RADIANS($B$3))*COS(RADIANS(Calcs!AH57))*COS(RADIANS(15*AZ42)))</f>
        <v>5.9511936457528654</v>
      </c>
      <c r="BC42" s="35">
        <f>IF(BB42&lt;0,NA(),(90-BB42)/90*SIN(RADIANS(-BA42)))</f>
        <v>7.9184372434428232E-2</v>
      </c>
      <c r="BD42" s="47">
        <f>IF(BB42&lt;0,NA(),(90-BB42)/90*COS(RADIANS(-BA42)))</f>
        <v>0.9305125041044453</v>
      </c>
      <c r="BE42" s="1"/>
      <c r="BF42" s="24">
        <v>310</v>
      </c>
      <c r="BG42" s="1">
        <v>90</v>
      </c>
      <c r="BH42" s="299" t="s">
        <v>46</v>
      </c>
      <c r="BI42" s="300"/>
      <c r="BJ42" s="1"/>
      <c r="BL42" s="1"/>
      <c r="BM42" s="1"/>
    </row>
    <row r="43" spans="2:72" x14ac:dyDescent="0.2">
      <c r="AQ43" s="1"/>
      <c r="AR43" s="1"/>
      <c r="AS43" s="1"/>
      <c r="AU43" s="1"/>
      <c r="AV43" s="1"/>
      <c r="AW43" s="1"/>
      <c r="AX43" s="1"/>
      <c r="AY43" s="73">
        <v>30</v>
      </c>
      <c r="AZ43" s="65">
        <f>$B$6 - Calcs!AG58/15</f>
        <v>-9.2640302229871896</v>
      </c>
      <c r="BA43" s="64">
        <f>MOD(-180/PI()*ATAN2(-SIN(RADIANS($B$3))*COS(RADIANS(Calcs!AH58))*COS(RADIANS(15*AZ43))+COS(RADIANS($B$3))*SIN(RADIANS(Calcs!AH58)),COS(RADIANS(Calcs!AH58))*SIN(RADIANS(15*AZ43))),360)</f>
        <v>24.73168963449238</v>
      </c>
      <c r="BB43" s="64">
        <f>180/PI()*ASIN(SIN(RADIANS($B$3))*SIN(RADIANS(Calcs!AH58))+COS(RADIANS($B$3))*COS(RADIANS(Calcs!AH58))*COS(RADIANS(15*AZ43)))</f>
        <v>0.68622349945397354</v>
      </c>
      <c r="BC43" s="35">
        <f t="shared" ref="BC43:BC54" si="38">IF(BB43&lt;0,NA(),(90-BB43)/90*SIN(RADIANS(-BA43)))</f>
        <v>-0.41517955103847809</v>
      </c>
      <c r="BD43" s="47">
        <f t="shared" ref="BD43:BD54" si="39">IF(BB43&lt;0,NA(),(90-BB43)/90*COS(RADIANS(-BA43)))</f>
        <v>0.90135157704151547</v>
      </c>
      <c r="BF43" s="24">
        <v>350</v>
      </c>
      <c r="BG43" s="1">
        <v>90</v>
      </c>
      <c r="BH43" s="35">
        <f>B8</f>
        <v>9</v>
      </c>
      <c r="BI43" s="14"/>
      <c r="BJ43" s="1"/>
      <c r="BL43" s="3"/>
      <c r="BM43" s="3"/>
    </row>
    <row r="44" spans="2:72" x14ac:dyDescent="0.2">
      <c r="AQ44" s="1"/>
      <c r="AR44" s="1"/>
      <c r="AS44" s="1"/>
      <c r="AU44" s="1"/>
      <c r="AV44" s="1"/>
      <c r="AW44" s="1"/>
      <c r="AX44" s="1"/>
      <c r="AY44" s="73">
        <v>60</v>
      </c>
      <c r="AZ44" s="65">
        <f>$B$6 - Calcs!AG59/15</f>
        <v>-7.6938380227445169</v>
      </c>
      <c r="BA44" s="64">
        <f>MOD(-180/PI()*ATAN2(-SIN(RADIANS($B$3))*COS(RADIANS(Calcs!AH59))*COS(RADIANS(15*AZ44))+COS(RADIANS($B$3))*SIN(RADIANS(Calcs!AH59)),COS(RADIANS(Calcs!AH59))*SIN(RADIANS(15*AZ44))),360)</f>
        <v>54.263925051166531</v>
      </c>
      <c r="BB44" s="64">
        <f>180/PI()*ASIN(SIN(RADIANS($B$3))*SIN(RADIANS(Calcs!AH59))+COS(RADIANS($B$3))*COS(RADIANS(Calcs!AH59))*COS(RADIANS(15*AZ44)))</f>
        <v>-4.7574177952362886</v>
      </c>
      <c r="BC44" s="35" t="e">
        <f t="shared" si="38"/>
        <v>#N/A</v>
      </c>
      <c r="BD44" s="47" t="e">
        <f t="shared" si="39"/>
        <v>#N/A</v>
      </c>
      <c r="BE44" s="1"/>
      <c r="BF44" s="24">
        <v>12</v>
      </c>
      <c r="BG44" s="1">
        <v>90</v>
      </c>
      <c r="BH44" s="299" t="s">
        <v>45</v>
      </c>
      <c r="BI44" s="300"/>
      <c r="BJ44" s="1"/>
      <c r="BL44" s="3"/>
      <c r="BM44" s="3"/>
    </row>
    <row r="45" spans="2:72" x14ac:dyDescent="0.2">
      <c r="AQ45" s="1"/>
      <c r="AR45" s="1"/>
      <c r="AS45" s="1"/>
      <c r="AU45" s="1"/>
      <c r="AV45" s="1"/>
      <c r="AW45" s="1"/>
      <c r="AX45" s="1"/>
      <c r="AY45" s="73">
        <v>90</v>
      </c>
      <c r="AZ45" s="65">
        <f>$B$6 - Calcs!AG60/15</f>
        <v>-6.7105046124196637</v>
      </c>
      <c r="BA45" s="64">
        <f>MOD(-180/PI()*ATAN2(-SIN(RADIANS($B$3))*COS(RADIANS(Calcs!AH60))*COS(RADIANS(15*AZ45))+COS(RADIANS($B$3))*SIN(RADIANS(Calcs!AH60)),COS(RADIANS(Calcs!AH60))*SIN(RADIANS(15*AZ45))),360)</f>
        <v>84.1949603146534</v>
      </c>
      <c r="BB45" s="64">
        <f>180/PI()*ASIN(SIN(RADIANS($B$3))*SIN(RADIANS(Calcs!AH60))+COS(RADIANS($B$3))*COS(RADIANS(Calcs!AH60))*COS(RADIANS(15*AZ45)))</f>
        <v>-8.9532237320586958</v>
      </c>
      <c r="BC45" s="35" t="e">
        <f t="shared" si="38"/>
        <v>#N/A</v>
      </c>
      <c r="BD45" s="47" t="e">
        <f t="shared" si="39"/>
        <v>#N/A</v>
      </c>
      <c r="BE45" s="1"/>
      <c r="BF45" s="68">
        <f>B7</f>
        <v>9</v>
      </c>
      <c r="BG45" s="1">
        <v>4</v>
      </c>
      <c r="BH45" s="1" t="s">
        <v>34</v>
      </c>
      <c r="BI45" s="14"/>
      <c r="BJ45" s="1"/>
      <c r="BL45" s="3"/>
      <c r="BM45" s="3"/>
    </row>
    <row r="46" spans="2:72" x14ac:dyDescent="0.2">
      <c r="AQ46" s="1"/>
      <c r="AR46" s="1"/>
      <c r="AS46" s="1"/>
      <c r="AY46" s="73">
        <v>120</v>
      </c>
      <c r="AZ46" s="65">
        <f>$B$6 - Calcs!AG61/15</f>
        <v>-5.7271712020948069</v>
      </c>
      <c r="BA46" s="64">
        <f>MOD(-180/PI()*ATAN2(-SIN(RADIANS($B$3))*COS(RADIANS(Calcs!AH61))*COS(RADIANS(15*AZ46))+COS(RADIANS($B$3))*SIN(RADIANS(Calcs!AH61)),COS(RADIANS(Calcs!AH61))*SIN(RADIANS(15*AZ46))),360)</f>
        <v>114.60133133432524</v>
      </c>
      <c r="BB46" s="64">
        <f>180/PI()*ASIN(SIN(RADIANS($B$3))*SIN(RADIANS(Calcs!AH61))+COS(RADIANS($B$3))*COS(RADIANS(Calcs!AH61))*COS(RADIANS(15*AZ46)))</f>
        <v>-10.755508386172814</v>
      </c>
      <c r="BC46" s="35" t="e">
        <f t="shared" si="38"/>
        <v>#N/A</v>
      </c>
      <c r="BD46" s="47" t="e">
        <f t="shared" si="39"/>
        <v>#N/A</v>
      </c>
      <c r="BE46" s="1"/>
      <c r="BF46" s="24">
        <v>0.7</v>
      </c>
      <c r="BG46" s="1">
        <v>1.08</v>
      </c>
      <c r="BI46" s="14"/>
      <c r="BJ46" s="1"/>
      <c r="BL46" s="3"/>
      <c r="BM46" s="3"/>
    </row>
    <row r="47" spans="2:72" ht="17" thickBot="1" x14ac:dyDescent="0.25">
      <c r="AU47" s="54"/>
      <c r="AV47" s="54"/>
      <c r="AW47" s="54"/>
      <c r="AX47" s="55"/>
      <c r="AY47" s="73">
        <v>150</v>
      </c>
      <c r="AZ47" s="65">
        <f>$B$6 - Calcs!AG62/15</f>
        <v>-4.1569790018521342</v>
      </c>
      <c r="BA47" s="64">
        <f>MOD(-180/PI()*ATAN2(-SIN(RADIANS($B$3))*COS(RADIANS(Calcs!AH62))*COS(RADIANS(15*AZ47))+COS(RADIANS($B$3))*SIN(RADIANS(Calcs!AH62)),COS(RADIANS(Calcs!AH62))*SIN(RADIANS(15*AZ47))),360)</f>
        <v>145.07462241487499</v>
      </c>
      <c r="BB47" s="64">
        <f>180/PI()*ASIN(SIN(RADIANS($B$3))*SIN(RADIANS(Calcs!AH62))+COS(RADIANS($B$3))*COS(RADIANS(Calcs!AH62))*COS(RADIANS(15*AZ47)))</f>
        <v>-9.6485767194975161</v>
      </c>
      <c r="BC47" s="35" t="e">
        <f t="shared" si="38"/>
        <v>#N/A</v>
      </c>
      <c r="BD47" s="47" t="e">
        <f t="shared" si="39"/>
        <v>#N/A</v>
      </c>
      <c r="BE47" s="1"/>
      <c r="BF47" s="26">
        <v>0.98</v>
      </c>
      <c r="BG47" s="27">
        <v>1.08</v>
      </c>
      <c r="BH47" s="9"/>
      <c r="BI47" s="15"/>
      <c r="BJ47" s="1"/>
      <c r="BL47" s="3"/>
      <c r="BM47" s="3"/>
    </row>
    <row r="48" spans="2:72" x14ac:dyDescent="0.2">
      <c r="AQ48" s="1"/>
      <c r="AR48" s="1"/>
      <c r="AS48" s="1"/>
      <c r="AY48" s="73">
        <v>180</v>
      </c>
      <c r="AZ48" s="65">
        <f>$B$6 - Calcs!AG63/15</f>
        <v>-0.7105046124196619</v>
      </c>
      <c r="BA48" s="64">
        <f>MOD(-180/PI()*ATAN2(-SIN(RADIANS($B$3))*COS(RADIANS(Calcs!AH63))*COS(RADIANS(15*AZ48))+COS(RADIANS($B$3))*SIN(RADIANS(Calcs!AH63)),COS(RADIANS(Calcs!AH63))*SIN(RADIANS(15*AZ48))),360)</f>
        <v>175.13598568714431</v>
      </c>
      <c r="BB48" s="64">
        <f>180/PI()*ASIN(SIN(RADIANS($B$3))*SIN(RADIANS(Calcs!AH63))+COS(RADIANS($B$3))*COS(RADIANS(Calcs!AH63))*COS(RADIANS(15*AZ48)))</f>
        <v>-5.9511936457528645</v>
      </c>
      <c r="BC48" s="35" t="e">
        <f t="shared" si="38"/>
        <v>#N/A</v>
      </c>
      <c r="BD48" s="47" t="e">
        <f t="shared" si="39"/>
        <v>#N/A</v>
      </c>
      <c r="BE48" s="1"/>
      <c r="BF48" s="1"/>
      <c r="BG48" s="1"/>
      <c r="BH48" s="1"/>
      <c r="BJ48" s="1"/>
      <c r="BL48" s="3"/>
      <c r="BM48" s="3"/>
    </row>
    <row r="49" spans="43:66" x14ac:dyDescent="0.2">
      <c r="AY49" s="73">
        <v>210</v>
      </c>
      <c r="AZ49" s="65">
        <f>$B$6 - Calcs!AG64/15</f>
        <v>2.735969777012814</v>
      </c>
      <c r="BA49" s="64">
        <f>MOD(-180/PI()*ATAN2(-SIN(RADIANS($B$3))*COS(RADIANS(Calcs!AH64))*COS(RADIANS(15*AZ49))+COS(RADIANS($B$3))*SIN(RADIANS(Calcs!AH64)),COS(RADIANS(Calcs!AH64))*SIN(RADIANS(15*AZ49))),360)</f>
        <v>204.73168963449243</v>
      </c>
      <c r="BB49" s="64">
        <f>180/PI()*ASIN(SIN(RADIANS($B$3))*SIN(RADIANS(Calcs!AH64))+COS(RADIANS($B$3))*COS(RADIANS(Calcs!AH64))*COS(RADIANS(15*AZ49)))</f>
        <v>-0.68622349945398631</v>
      </c>
      <c r="BC49" s="35" t="e">
        <f t="shared" si="38"/>
        <v>#N/A</v>
      </c>
      <c r="BD49" s="47" t="e">
        <f t="shared" si="39"/>
        <v>#N/A</v>
      </c>
      <c r="BF49" s="3"/>
      <c r="BG49" s="3"/>
      <c r="BH49" s="3"/>
      <c r="BJ49" s="1"/>
      <c r="BL49" s="3"/>
      <c r="BM49" s="3"/>
      <c r="BN49" s="3"/>
    </row>
    <row r="50" spans="43:66" x14ac:dyDescent="0.2">
      <c r="AY50" s="73">
        <v>240</v>
      </c>
      <c r="AZ50" s="65">
        <f>$B$6 - Calcs!AG65/15</f>
        <v>4.306161977255484</v>
      </c>
      <c r="BA50" s="64">
        <f>MOD(-180/PI()*ATAN2(-SIN(RADIANS($B$3))*COS(RADIANS(Calcs!AH65))*COS(RADIANS(15*AZ50))+COS(RADIANS($B$3))*SIN(RADIANS(Calcs!AH65)),COS(RADIANS(Calcs!AH65))*SIN(RADIANS(15*AZ50))),360)</f>
        <v>234.26392505116655</v>
      </c>
      <c r="BB50" s="64">
        <f>180/PI()*ASIN(SIN(RADIANS($B$3))*SIN(RADIANS(Calcs!AH65))+COS(RADIANS($B$3))*COS(RADIANS(Calcs!AH65))*COS(RADIANS(15*AZ50)))</f>
        <v>4.7574177952362762</v>
      </c>
      <c r="BC50" s="35">
        <f t="shared" si="38"/>
        <v>0.76880848709540495</v>
      </c>
      <c r="BD50" s="47">
        <f t="shared" si="39"/>
        <v>-0.55317927946000434</v>
      </c>
      <c r="BF50" s="3"/>
      <c r="BG50" s="3"/>
      <c r="BH50" s="3"/>
      <c r="BJ50" s="1"/>
      <c r="BL50" s="3"/>
      <c r="BM50" s="3"/>
      <c r="BN50" s="3"/>
    </row>
    <row r="51" spans="43:66" x14ac:dyDescent="0.2">
      <c r="AY51" s="73">
        <v>270</v>
      </c>
      <c r="AZ51" s="65">
        <f>$B$6 - Calcs!AG66/15</f>
        <v>5.289495387580339</v>
      </c>
      <c r="BA51" s="64">
        <f>MOD(-180/PI()*ATAN2(-SIN(RADIANS($B$3))*COS(RADIANS(Calcs!AH66))*COS(RADIANS(15*AZ51))+COS(RADIANS($B$3))*SIN(RADIANS(Calcs!AH66)),COS(RADIANS(Calcs!AH66))*SIN(RADIANS(15*AZ51))),360)</f>
        <v>264.19496031465337</v>
      </c>
      <c r="BB51" s="64">
        <f>180/PI()*ASIN(SIN(RADIANS($B$3))*SIN(RADIANS(Calcs!AH66))+COS(RADIANS($B$3))*COS(RADIANS(Calcs!AH66))*COS(RADIANS(15*AZ51)))</f>
        <v>8.9532237320586674</v>
      </c>
      <c r="BC51" s="35">
        <f t="shared" si="38"/>
        <v>0.89590170555020388</v>
      </c>
      <c r="BD51" s="47">
        <f t="shared" si="39"/>
        <v>-9.1081993153943622E-2</v>
      </c>
      <c r="BE51" s="1"/>
      <c r="BF51" s="1"/>
      <c r="BG51" s="1"/>
      <c r="BH51" s="1"/>
      <c r="BJ51" s="1"/>
      <c r="BL51" s="3"/>
      <c r="BM51" s="3"/>
      <c r="BN51" s="3"/>
    </row>
    <row r="52" spans="43:66" x14ac:dyDescent="0.2">
      <c r="AY52" s="73">
        <v>300</v>
      </c>
      <c r="AZ52" s="65">
        <f>$B$6 - Calcs!AG67/15</f>
        <v>6.272828797905194</v>
      </c>
      <c r="BA52" s="64">
        <f>MOD(-180/PI()*ATAN2(-SIN(RADIANS($B$3))*COS(RADIANS(Calcs!AH67))*COS(RADIANS(15*AZ52))+COS(RADIANS($B$3))*SIN(RADIANS(Calcs!AH67)),COS(RADIANS(Calcs!AH67))*SIN(RADIANS(15*AZ52))),360)</f>
        <v>294.60133133432521</v>
      </c>
      <c r="BB52" s="64">
        <f>180/PI()*ASIN(SIN(RADIANS($B$3))*SIN(RADIANS(Calcs!AH67))+COS(RADIANS($B$3))*COS(RADIANS(Calcs!AH67))*COS(RADIANS(15*AZ52)))</f>
        <v>10.755508386172821</v>
      </c>
      <c r="BC52" s="35">
        <f t="shared" si="38"/>
        <v>0.8005687409462513</v>
      </c>
      <c r="BD52" s="47">
        <f t="shared" si="39"/>
        <v>0.36655148837354429</v>
      </c>
      <c r="BE52" s="1"/>
      <c r="BF52" s="1"/>
      <c r="BG52" s="1"/>
      <c r="BH52" s="1"/>
      <c r="BJ52" s="1"/>
      <c r="BL52" s="3"/>
      <c r="BM52" s="3"/>
      <c r="BN52" s="3"/>
    </row>
    <row r="53" spans="43:66" x14ac:dyDescent="0.2">
      <c r="AY53" s="73">
        <v>330</v>
      </c>
      <c r="AZ53" s="65">
        <f>$B$6 - Calcs!AG68/15</f>
        <v>7.8430209981478631</v>
      </c>
      <c r="BA53" s="64">
        <f>MOD(-180/PI()*ATAN2(-SIN(RADIANS($B$3))*COS(RADIANS(Calcs!AH68))*COS(RADIANS(15*AZ53))+COS(RADIANS($B$3))*SIN(RADIANS(Calcs!AH68)),COS(RADIANS(Calcs!AH68))*SIN(RADIANS(15*AZ53))),360)</f>
        <v>325.07462241487497</v>
      </c>
      <c r="BB53" s="64">
        <f>180/PI()*ASIN(SIN(RADIANS($B$3))*SIN(RADIANS(Calcs!AH68))+COS(RADIANS($B$3))*COS(RADIANS(Calcs!AH68))*COS(RADIANS(15*AZ53)))</f>
        <v>9.6485767194975232</v>
      </c>
      <c r="BC53" s="35">
        <f t="shared" si="38"/>
        <v>0.51113243884845605</v>
      </c>
      <c r="BD53" s="47">
        <f t="shared" si="39"/>
        <v>0.73200001904580625</v>
      </c>
      <c r="BE53" s="1"/>
      <c r="BF53" s="1"/>
      <c r="BG53" s="1"/>
      <c r="BH53" s="1"/>
      <c r="BJ53" s="1"/>
      <c r="BL53" s="3"/>
      <c r="BM53" s="3"/>
      <c r="BN53" s="3"/>
    </row>
    <row r="54" spans="43:66" x14ac:dyDescent="0.2">
      <c r="AY54" s="73">
        <v>360</v>
      </c>
      <c r="AZ54" s="65">
        <f>$B$6 - Calcs!AG69/15</f>
        <v>11.289495387580338</v>
      </c>
      <c r="BA54" s="64">
        <f>MOD(-180/PI()*ATAN2(-SIN(RADIANS($B$3))*COS(RADIANS(Calcs!AH69))*COS(RADIANS(15*AZ54))+COS(RADIANS($B$3))*SIN(RADIANS(Calcs!AH69)),COS(RADIANS(Calcs!AH69))*SIN(RADIANS(15*AZ54))),360)</f>
        <v>355.13598568714428</v>
      </c>
      <c r="BB54" s="64">
        <f>180/PI()*ASIN(SIN(RADIANS($B$3))*SIN(RADIANS(Calcs!AH69))+COS(RADIANS($B$3))*COS(RADIANS(Calcs!AH69))*COS(RADIANS(15*AZ54)))</f>
        <v>5.9511936457528654</v>
      </c>
      <c r="BC54" s="35">
        <f t="shared" si="38"/>
        <v>7.9184372434428232E-2</v>
      </c>
      <c r="BD54" s="47">
        <f t="shared" si="39"/>
        <v>0.9305125041044453</v>
      </c>
      <c r="BE54" s="1"/>
      <c r="BF54" s="1"/>
      <c r="BG54" s="1"/>
      <c r="BH54" s="1"/>
      <c r="BI54" s="1"/>
      <c r="BJ54" s="1"/>
      <c r="BK54" s="1"/>
      <c r="BL54" s="3"/>
      <c r="BM54" s="3"/>
      <c r="BN54" s="3"/>
    </row>
    <row r="55" spans="43:66" x14ac:dyDescent="0.2">
      <c r="AY55" s="6"/>
      <c r="BD55" s="14"/>
      <c r="BE55" s="1"/>
      <c r="BF55" s="1"/>
      <c r="BG55" s="1"/>
      <c r="BH55" s="1"/>
      <c r="BI55" s="1"/>
      <c r="BJ55" s="1"/>
      <c r="BK55" s="1"/>
      <c r="BL55" s="3"/>
      <c r="BM55" s="3"/>
      <c r="BN55" s="3"/>
    </row>
    <row r="56" spans="43:66" ht="17" thickBot="1" x14ac:dyDescent="0.25">
      <c r="AQ56" s="1"/>
      <c r="AR56" s="1"/>
      <c r="AS56" s="1"/>
      <c r="AY56" s="74" t="s">
        <v>98</v>
      </c>
      <c r="AZ56" s="32">
        <f>$B$6 - Calcs!AG70/15</f>
        <v>-5.6138379457529926</v>
      </c>
      <c r="BA56" s="33">
        <f>MOD(-180/PI()*ATAN2(-SIN(RADIANS($B$3))*COS(RADIANS(Calcs!AH70))*COS(RADIANS(15*AZ56))+COS(RADIANS($B$3))*SIN(RADIANS(Calcs!AH70)),COS(RADIANS(Calcs!AH70))*SIN(RADIANS(15*AZ56))),360)</f>
        <v>117.55224273651265</v>
      </c>
      <c r="BB56" s="33">
        <f>180/PI()*ASIN(SIN(RADIANS($B$3))*SIN(RADIANS(Calcs!AH70))+COS(RADIANS($B$3))*COS(RADIANS(Calcs!AH70))*COS(RADIANS(15*AZ56)))</f>
        <v>-10.762360993358715</v>
      </c>
      <c r="BC56" s="48" t="e">
        <f>IF(BB56&lt;0,NA(),(90-BB56)/90*SIN(RADIANS(-BA56)))</f>
        <v>#N/A</v>
      </c>
      <c r="BD56" s="49" t="e">
        <f>IF(BB56&lt;0,NA(),(90-BB56)/90*COS(RADIANS(-BA56)))</f>
        <v>#N/A</v>
      </c>
      <c r="BM56" s="3"/>
    </row>
    <row r="57" spans="43:66" x14ac:dyDescent="0.2">
      <c r="AQ57" s="1"/>
      <c r="AR57" s="1"/>
      <c r="AS57" s="1"/>
    </row>
    <row r="58" spans="43:66" x14ac:dyDescent="0.2">
      <c r="AQ58" s="1"/>
      <c r="AR58" s="1"/>
      <c r="AS58" s="1"/>
    </row>
    <row r="59" spans="43:66" x14ac:dyDescent="0.2">
      <c r="AQ59" s="1"/>
      <c r="AR59" s="1"/>
      <c r="AS59" s="1"/>
    </row>
    <row r="60" spans="43:66" x14ac:dyDescent="0.2">
      <c r="AQ60" s="1"/>
      <c r="AR60" s="1"/>
      <c r="AS60" s="1"/>
    </row>
    <row r="61" spans="43:66" x14ac:dyDescent="0.2">
      <c r="AQ61" s="1"/>
      <c r="AR61" s="1"/>
      <c r="AS61" s="1"/>
    </row>
    <row r="62" spans="43:66" x14ac:dyDescent="0.2">
      <c r="AQ62" s="1"/>
      <c r="AR62" s="1"/>
      <c r="AS62" s="1"/>
    </row>
    <row r="64" spans="43:66" x14ac:dyDescent="0.2">
      <c r="AQ64" s="1"/>
      <c r="AR64" s="1"/>
      <c r="AS64" s="1"/>
      <c r="AT64" s="1"/>
    </row>
  </sheetData>
  <mergeCells count="13">
    <mergeCell ref="BH42:BI42"/>
    <mergeCell ref="BH44:BI44"/>
    <mergeCell ref="X1:AA1"/>
    <mergeCell ref="BG1:BK1"/>
    <mergeCell ref="A2:C2"/>
    <mergeCell ref="AZ40:BC40"/>
    <mergeCell ref="BF40:BI40"/>
    <mergeCell ref="A11:C11"/>
    <mergeCell ref="BH41:BI41"/>
    <mergeCell ref="AH2:AI2"/>
    <mergeCell ref="AF1:AH1"/>
    <mergeCell ref="AK1:AM1"/>
    <mergeCell ref="AQ1:AT1"/>
  </mergeCells>
  <conditionalFormatting sqref="Y5:Y24">
    <cfRule type="colorScale" priority="7">
      <colorScale>
        <cfvo type="num" val="1"/>
        <cfvo type="num" val="2"/>
        <cfvo type="num" val="3"/>
        <color theme="5" tint="0.59999389629810485"/>
        <color theme="7" tint="0.79998168889431442"/>
        <color theme="9" tint="0.39997558519241921"/>
      </colorScale>
    </cfRule>
  </conditionalFormatting>
  <conditionalFormatting sqref="Z5:Z24">
    <cfRule type="containsText" dxfId="3" priority="6" operator="containsText" text="Done">
      <formula>NOT(ISERROR(SEARCH("Done",Z5)))</formula>
    </cfRule>
  </conditionalFormatting>
  <conditionalFormatting sqref="AE4">
    <cfRule type="colorScale" priority="9">
      <colorScale>
        <cfvo type="num" val="0"/>
        <cfvo type="num" val="5"/>
        <color rgb="FFFCFCFF"/>
        <color rgb="FFFFC000"/>
      </colorScale>
    </cfRule>
  </conditionalFormatting>
  <conditionalFormatting sqref="AE5:AE24">
    <cfRule type="colorScale" priority="8">
      <colorScale>
        <cfvo type="num" val="-90"/>
        <cfvo type="num" val="30"/>
        <cfvo type="num" val="45"/>
        <color rgb="FFF8696B"/>
        <color rgb="FFFF8497"/>
        <color rgb="FFFCFCFF"/>
      </colorScale>
    </cfRule>
  </conditionalFormatting>
  <conditionalFormatting sqref="AF5:AF24">
    <cfRule type="expression" dxfId="2" priority="46">
      <formula>AN5&lt;-1*AD5</formula>
    </cfRule>
    <cfRule type="colorScale" priority="47">
      <colorScale>
        <cfvo type="num" val="0"/>
        <cfvo type="num" val="0"/>
        <cfvo type="num" val="1"/>
        <color rgb="FFFF6B63"/>
        <color rgb="FFFFFF00"/>
        <color theme="0"/>
      </colorScale>
    </cfRule>
  </conditionalFormatting>
  <conditionalFormatting sqref="AG5:AG24">
    <cfRule type="colorScale" priority="3">
      <colorScale>
        <cfvo type="num" val="0"/>
        <cfvo type="num" val="45"/>
        <cfvo type="num" val="120"/>
        <color rgb="FFF8696B"/>
        <color rgb="FFFFB3C1"/>
        <color rgb="FFFCFCFF"/>
      </colorScale>
    </cfRule>
  </conditionalFormatting>
  <conditionalFormatting sqref="AH5:AH24">
    <cfRule type="colorScale" priority="2">
      <colorScale>
        <cfvo type="num" val="85"/>
        <cfvo type="num" val="350"/>
        <cfvo type="num" val="850"/>
        <color theme="0"/>
        <color rgb="FFFFA5AC"/>
        <color rgb="FFF8696B"/>
      </colorScale>
    </cfRule>
  </conditionalFormatting>
  <conditionalFormatting sqref="AI5:AI24">
    <cfRule type="colorScale" priority="1">
      <colorScale>
        <cfvo type="num" val="19"/>
        <cfvo type="num" val="20"/>
        <cfvo type="num" val="21.5"/>
        <color rgb="FFFF6B63"/>
        <color rgb="FFFFB3C1"/>
        <color theme="0"/>
      </colorScale>
    </cfRule>
  </conditionalFormatting>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115FC-0B8E-064F-A7F3-F4B459C27EC8}">
  <dimension ref="A1:BT64"/>
  <sheetViews>
    <sheetView topLeftCell="H1" zoomScale="109" zoomScaleNormal="109" workbookViewId="0">
      <selection activeCell="B9" sqref="B9"/>
    </sheetView>
  </sheetViews>
  <sheetFormatPr baseColWidth="10" defaultRowHeight="16" x14ac:dyDescent="0.2"/>
  <cols>
    <col min="1" max="1" width="11.5" customWidth="1"/>
    <col min="2" max="2" width="7" customWidth="1"/>
    <col min="3" max="3" width="8.5" customWidth="1"/>
    <col min="4" max="4" width="6" customWidth="1"/>
    <col min="5" max="5" width="11.6640625" customWidth="1"/>
    <col min="6" max="6" width="4.33203125" customWidth="1"/>
    <col min="7" max="7" width="5.83203125" customWidth="1"/>
    <col min="8" max="9" width="6.83203125" customWidth="1"/>
    <col min="10" max="10" width="6.5" customWidth="1"/>
    <col min="11" max="11" width="6.6640625" customWidth="1"/>
    <col min="12" max="12" width="5.83203125" customWidth="1"/>
    <col min="13" max="13" width="5.6640625" customWidth="1"/>
    <col min="14" max="14" width="5.1640625" customWidth="1"/>
    <col min="15" max="15" width="5.6640625" customWidth="1"/>
    <col min="16" max="16" width="7.1640625" customWidth="1"/>
    <col min="17" max="17" width="6" customWidth="1"/>
    <col min="18" max="18" width="6.33203125" customWidth="1"/>
    <col min="19" max="19" width="5.83203125" customWidth="1"/>
    <col min="20" max="20" width="6" customWidth="1"/>
    <col min="21" max="22" width="6.33203125" customWidth="1"/>
    <col min="23" max="23" width="20.1640625" customWidth="1"/>
    <col min="24" max="24" width="6.5" customWidth="1"/>
    <col min="25" max="25" width="6" customWidth="1"/>
    <col min="26" max="26" width="6.33203125" customWidth="1"/>
    <col min="27" max="27" width="6.83203125" customWidth="1"/>
    <col min="28" max="28" width="6.33203125" customWidth="1"/>
    <col min="29" max="29" width="6" customWidth="1"/>
    <col min="30" max="30" width="6.6640625" customWidth="1"/>
    <col min="31" max="31" width="6.1640625" customWidth="1"/>
    <col min="32" max="32" width="7.83203125" customWidth="1"/>
    <col min="33" max="33" width="7" customWidth="1"/>
    <col min="34" max="41" width="7.33203125" customWidth="1"/>
    <col min="42" max="42" width="5.83203125" customWidth="1"/>
    <col min="43" max="43" width="5.5" customWidth="1"/>
    <col min="44" max="44" width="6" customWidth="1"/>
    <col min="45" max="45" width="5.5" customWidth="1"/>
    <col min="46" max="46" width="6" customWidth="1"/>
    <col min="47" max="49" width="5.6640625" customWidth="1"/>
    <col min="50" max="50" width="6" customWidth="1"/>
    <col min="51" max="51" width="6.5" customWidth="1"/>
    <col min="52" max="53" width="5.83203125" customWidth="1"/>
    <col min="54" max="54" width="5.1640625" customWidth="1"/>
    <col min="55" max="55" width="5.83203125" customWidth="1"/>
    <col min="56" max="56" width="6.1640625" customWidth="1"/>
    <col min="57" max="57" width="5.6640625" customWidth="1"/>
    <col min="58" max="58" width="5.5" customWidth="1"/>
    <col min="59" max="61" width="5.33203125" customWidth="1"/>
    <col min="62" max="62" width="5.5" customWidth="1"/>
    <col min="63" max="63" width="5.6640625" customWidth="1"/>
    <col min="64" max="65" width="5.5" customWidth="1"/>
    <col min="66" max="66" width="5" customWidth="1"/>
    <col min="67" max="67" width="5.5" customWidth="1"/>
    <col min="68" max="68" width="5.83203125" customWidth="1"/>
    <col min="69" max="69" width="5.6640625" customWidth="1"/>
    <col min="70" max="70" width="5.1640625" customWidth="1"/>
    <col min="71" max="71" width="5.5" customWidth="1"/>
    <col min="72" max="72" width="5.6640625" customWidth="1"/>
  </cols>
  <sheetData>
    <row r="1" spans="1:72" ht="17" thickBot="1" x14ac:dyDescent="0.25">
      <c r="X1" s="285" t="s">
        <v>250</v>
      </c>
      <c r="Y1" s="286"/>
      <c r="Z1" s="286"/>
      <c r="AA1" s="287"/>
      <c r="AF1" s="325" t="s">
        <v>249</v>
      </c>
      <c r="AG1" s="326"/>
      <c r="AH1" s="327"/>
      <c r="AK1" s="294" t="s">
        <v>255</v>
      </c>
      <c r="AL1" s="295"/>
      <c r="AM1" s="296"/>
      <c r="AQ1" s="291" t="s">
        <v>253</v>
      </c>
      <c r="AR1" s="292"/>
      <c r="AS1" s="292"/>
      <c r="AT1" s="293"/>
      <c r="BG1" s="291" t="s">
        <v>37</v>
      </c>
      <c r="BH1" s="292"/>
      <c r="BI1" s="292"/>
      <c r="BJ1" s="292"/>
      <c r="BK1" s="293"/>
    </row>
    <row r="2" spans="1:72" x14ac:dyDescent="0.2">
      <c r="A2" s="280" t="s">
        <v>148</v>
      </c>
      <c r="B2" s="281"/>
      <c r="C2" s="282"/>
      <c r="V2" s="23" t="s">
        <v>33</v>
      </c>
      <c r="W2" s="140" t="s">
        <v>117</v>
      </c>
      <c r="X2" s="140" t="s">
        <v>111</v>
      </c>
      <c r="Y2" s="140" t="s">
        <v>119</v>
      </c>
      <c r="Z2" s="140" t="s">
        <v>116</v>
      </c>
      <c r="AA2" s="140" t="s">
        <v>2</v>
      </c>
      <c r="AB2" s="140" t="s">
        <v>1</v>
      </c>
      <c r="AC2" s="143" t="s">
        <v>121</v>
      </c>
      <c r="AD2" s="140" t="s">
        <v>126</v>
      </c>
      <c r="AE2" s="141" t="s">
        <v>6</v>
      </c>
      <c r="AF2" s="141" t="s">
        <v>131</v>
      </c>
      <c r="AG2" s="141" t="s">
        <v>9</v>
      </c>
      <c r="AH2" s="283" t="s">
        <v>206</v>
      </c>
      <c r="AI2" s="284"/>
      <c r="AK2" s="240" t="s">
        <v>254</v>
      </c>
      <c r="AL2" s="241" t="s">
        <v>251</v>
      </c>
      <c r="AM2" s="242" t="s">
        <v>252</v>
      </c>
      <c r="AN2" s="215" t="s">
        <v>0</v>
      </c>
      <c r="AO2" s="140" t="s">
        <v>5</v>
      </c>
      <c r="AP2" s="140" t="s">
        <v>10</v>
      </c>
      <c r="AQ2" s="142" t="s">
        <v>6</v>
      </c>
      <c r="AR2" s="140" t="s">
        <v>38</v>
      </c>
      <c r="AS2" s="143" t="s">
        <v>28</v>
      </c>
      <c r="AT2" s="142" t="s">
        <v>29</v>
      </c>
      <c r="AU2" s="140" t="s">
        <v>129</v>
      </c>
      <c r="AV2" s="143" t="s">
        <v>2</v>
      </c>
      <c r="AW2" s="210" t="s">
        <v>1</v>
      </c>
      <c r="AY2" s="12" t="s">
        <v>17</v>
      </c>
      <c r="AZ2" s="20">
        <v>0</v>
      </c>
      <c r="BA2" s="20">
        <v>1</v>
      </c>
      <c r="BB2" s="20">
        <v>2</v>
      </c>
      <c r="BC2" s="20">
        <v>3</v>
      </c>
      <c r="BD2" s="20">
        <v>4</v>
      </c>
      <c r="BE2" s="20">
        <v>5</v>
      </c>
      <c r="BF2" s="20">
        <v>6</v>
      </c>
      <c r="BG2" s="20">
        <v>7</v>
      </c>
      <c r="BH2" s="20">
        <v>8</v>
      </c>
      <c r="BI2" s="20">
        <v>9</v>
      </c>
      <c r="BJ2" s="20">
        <v>10</v>
      </c>
      <c r="BK2" s="20">
        <v>11</v>
      </c>
      <c r="BL2" s="20">
        <v>12</v>
      </c>
      <c r="BM2" s="20">
        <v>13</v>
      </c>
      <c r="BN2" s="20">
        <v>14</v>
      </c>
      <c r="BO2" s="20">
        <v>15</v>
      </c>
      <c r="BP2" s="20">
        <v>16</v>
      </c>
      <c r="BQ2" s="20">
        <v>17</v>
      </c>
      <c r="BR2" s="20">
        <v>18</v>
      </c>
      <c r="BS2" s="20">
        <v>19</v>
      </c>
      <c r="BT2" s="21">
        <v>20</v>
      </c>
    </row>
    <row r="3" spans="1:72" x14ac:dyDescent="0.2">
      <c r="A3" s="31" t="s">
        <v>7</v>
      </c>
      <c r="B3">
        <v>32.700000000000003</v>
      </c>
      <c r="C3" s="14" t="s">
        <v>4</v>
      </c>
      <c r="V3" s="24" t="s">
        <v>17</v>
      </c>
      <c r="W3" s="38"/>
      <c r="X3" s="38"/>
      <c r="Y3" s="38" t="s">
        <v>120</v>
      </c>
      <c r="Z3" s="38" t="s">
        <v>132</v>
      </c>
      <c r="AA3" s="38" t="s">
        <v>247</v>
      </c>
      <c r="AB3" s="38" t="s">
        <v>248</v>
      </c>
      <c r="AC3" s="63" t="s">
        <v>122</v>
      </c>
      <c r="AD3" s="38" t="s">
        <v>122</v>
      </c>
      <c r="AE3" s="101" t="s">
        <v>4</v>
      </c>
      <c r="AF3" s="101" t="s">
        <v>122</v>
      </c>
      <c r="AG3" s="101" t="s">
        <v>15</v>
      </c>
      <c r="AH3" s="101" t="s">
        <v>203</v>
      </c>
      <c r="AI3" s="218" t="s">
        <v>207</v>
      </c>
      <c r="AK3" s="243" t="s">
        <v>4</v>
      </c>
      <c r="AL3" s="4" t="s">
        <v>17</v>
      </c>
      <c r="AM3" s="244" t="s">
        <v>122</v>
      </c>
      <c r="AN3" s="216" t="s">
        <v>122</v>
      </c>
      <c r="AO3" s="38" t="s">
        <v>123</v>
      </c>
      <c r="AP3" s="38" t="s">
        <v>25</v>
      </c>
      <c r="AQ3" s="39" t="s">
        <v>25</v>
      </c>
      <c r="AR3" s="38" t="s">
        <v>4</v>
      </c>
      <c r="AS3" s="63" t="s">
        <v>17</v>
      </c>
      <c r="AT3" s="39" t="s">
        <v>17</v>
      </c>
      <c r="AU3" s="38" t="s">
        <v>130</v>
      </c>
      <c r="AV3" s="38" t="s">
        <v>122</v>
      </c>
      <c r="AW3" s="211" t="s">
        <v>123</v>
      </c>
      <c r="AY3" s="13" t="s">
        <v>8</v>
      </c>
      <c r="AZ3" s="19" t="str">
        <f>W4</f>
        <v>Moon</v>
      </c>
      <c r="BA3" s="19" t="str">
        <f>W5</f>
        <v>PETS-1518</v>
      </c>
      <c r="BB3" s="19" t="str">
        <f>W6</f>
        <v>PETS-1431</v>
      </c>
      <c r="BC3" s="19" t="str">
        <f>W7</f>
        <v>TIC3071</v>
      </c>
      <c r="BD3" s="19" t="str">
        <f>W8</f>
        <v>TIC5285</v>
      </c>
      <c r="BE3" s="19" t="str">
        <f>W9</f>
        <v>TIC3898</v>
      </c>
      <c r="BF3" s="19" t="str">
        <f>W10</f>
        <v>TIC2864</v>
      </c>
      <c r="BG3" s="19" t="str">
        <f>W11</f>
        <v>TIC3922</v>
      </c>
      <c r="BH3" s="19" t="str">
        <f>W12</f>
        <v>TIC2600</v>
      </c>
      <c r="BI3" s="19" t="str">
        <f>W13</f>
        <v>TIC4541</v>
      </c>
      <c r="BJ3" s="19" t="str">
        <f>W14</f>
        <v>TIC3674</v>
      </c>
      <c r="BK3" s="19" t="str">
        <f>W15</f>
        <v>TIC3178</v>
      </c>
      <c r="BL3" s="19" t="str">
        <f>W16</f>
        <v>TIC7329</v>
      </c>
      <c r="BM3" s="19" t="str">
        <f>W17</f>
        <v>TIC4344</v>
      </c>
      <c r="BN3" s="19" t="str">
        <f>W18</f>
        <v>TIC8927</v>
      </c>
      <c r="BO3" s="19" t="str">
        <f>W19</f>
        <v>TIC2783</v>
      </c>
      <c r="BP3" s="19" t="str">
        <f>W20</f>
        <v>TIC4140</v>
      </c>
      <c r="BQ3" s="19" t="str">
        <f>W21</f>
        <v>TIC4707</v>
      </c>
      <c r="BR3" s="19">
        <f>W22</f>
        <v>0</v>
      </c>
      <c r="BS3" s="19">
        <f>W23</f>
        <v>0</v>
      </c>
      <c r="BT3" s="22">
        <f>W24</f>
        <v>0</v>
      </c>
    </row>
    <row r="4" spans="1:72" x14ac:dyDescent="0.2">
      <c r="A4" s="6"/>
      <c r="C4" s="14"/>
      <c r="P4" s="3"/>
      <c r="V4" s="24">
        <v>0</v>
      </c>
      <c r="W4" s="17" t="s">
        <v>9</v>
      </c>
      <c r="X4" s="17"/>
      <c r="Y4" s="17"/>
      <c r="Z4" s="17"/>
      <c r="AA4" s="153"/>
      <c r="AB4" s="153"/>
      <c r="AC4" s="237"/>
      <c r="AD4" s="17"/>
      <c r="AE4" s="18">
        <f t="shared" ref="AE4:AE24" si="0">IF(OR(W4="",Z4&lt;&gt;""),NA(),180/PI()*ASIN(SIN(RADIANS($B$3))*SIN(RADIANS(AW4)) + COS(RADIANS($B$3))*COS(RADIANS(AW4))*COS(RADIANS(15*AN4))))</f>
        <v>-49.095149179685116</v>
      </c>
      <c r="AF4" s="64">
        <v>0</v>
      </c>
      <c r="AG4" s="18">
        <f>IF(OR(W4="",Z4&lt;&gt;""),NA(),180/PI()*ACOS(SIN(RADIANS(AW4))*SIN(RADIANS($AW$4))+COS(RADIANS(AW4))*COS(RADIANS($AW$4))*COS(RADIANS(15*(AN4-$AN$4)))))</f>
        <v>0</v>
      </c>
      <c r="AH4" s="64">
        <v>0</v>
      </c>
      <c r="AI4" s="232">
        <v>0</v>
      </c>
      <c r="AK4" s="245"/>
      <c r="AL4" s="46"/>
      <c r="AM4" s="220"/>
      <c r="AN4" s="68">
        <f t="shared" ref="AN4:AN24" si="1">IF(OR(W4="",Z4&lt;&gt;""),NA(),IF($B$6-AV4&gt;12,($B$6-AV4)-24,IF($B$6-AV4&lt;-12,$B$6-AV4+24,$B$6-AV4)))</f>
        <v>-9.321489482301013</v>
      </c>
      <c r="AO4" s="64">
        <f t="shared" ref="AO4:AO24" si="2">IF(OR(W4="",Z4&lt;&gt;""),NA(),MOD(-180/PI()*ATAN2(-SIN(RADIANS($B$3))*COS(RADIANS(AW4))*COS(RADIANS(15*AN4)) + COS(RADIANS($B$3))*SIN(RADIANS(AW4)),COS(RADIANS(AW4))*SIN(RADIANS(15*AN4))),360))</f>
        <v>72.782808296386051</v>
      </c>
      <c r="AP4" s="65">
        <f t="shared" ref="AP4:AP24" si="3">IF(OR(W4="",Z4&lt;&gt;""),NA(),MOD(AV4-$B$5,24))</f>
        <v>18.988156148967683</v>
      </c>
      <c r="AQ4" s="64">
        <f t="shared" ref="AQ4:AQ24" si="4">IF(OR(W4="",Z4&lt;&gt;""),NA(),180/PI()*ASIN(SIN(RADIANS($B$3))*SIN(RADIANS(AW4)) + COS(RADIANS($B$3))*COS(RADIANS(AW4))))</f>
        <v>43.105636220368886</v>
      </c>
      <c r="AR4" s="64">
        <f t="shared" ref="AR4:AR24" si="5">IF(OR(W4="",Z4&lt;&gt;""),NA(),180/PI()*ATAN2(TAN(RADIANS($B$3))*COS(RADIANS(AW4)) - SIN(RADIANS(AW4))*COS(RADIANS(15*AN4)),SIN(RADIANS(15*AN4))))</f>
        <v>-56.008003408044047</v>
      </c>
      <c r="AS4" s="35" t="e">
        <f t="shared" ref="AS4:AS24" si="6">IF(OR(W4="",Z4&lt;&gt;"",AE4&lt;0),NA(),(90-AE4)/90*SIN(RADIANS(-AO4)))</f>
        <v>#N/A</v>
      </c>
      <c r="AT4" s="35" t="e">
        <f t="shared" ref="AT4:AT24" si="7">IF(OR(W4="",Z4&lt;&gt;"",AE4&lt;0),NA(),(90-AE4)/90*COS(RADIANS(AO4)))</f>
        <v>#N/A</v>
      </c>
      <c r="AU4" s="1" t="e">
        <f>NA()</f>
        <v>#N/A</v>
      </c>
      <c r="AV4" s="65">
        <f>Calcs!B55</f>
        <v>22.134318203214686</v>
      </c>
      <c r="AW4" s="212">
        <f>Calcs!B56</f>
        <v>-14.194363779631127</v>
      </c>
      <c r="AY4" s="13" t="s">
        <v>10</v>
      </c>
      <c r="AZ4" s="19">
        <f>Y4</f>
        <v>0</v>
      </c>
      <c r="BA4" s="19">
        <f>Y5</f>
        <v>1</v>
      </c>
      <c r="BB4" s="19">
        <f>Y6</f>
        <v>1</v>
      </c>
      <c r="BC4" s="19">
        <f>Y7</f>
        <v>2</v>
      </c>
      <c r="BD4" s="19">
        <f>Y8</f>
        <v>2</v>
      </c>
      <c r="BE4" s="19">
        <f>Y9</f>
        <v>2</v>
      </c>
      <c r="BF4" s="19">
        <f>Y10</f>
        <v>2</v>
      </c>
      <c r="BG4" s="19">
        <f>Y11</f>
        <v>2</v>
      </c>
      <c r="BH4" s="19">
        <f>Y12</f>
        <v>2</v>
      </c>
      <c r="BI4" s="19">
        <f>Y13</f>
        <v>2</v>
      </c>
      <c r="BJ4" s="19">
        <f>Y14</f>
        <v>1</v>
      </c>
      <c r="BK4" s="19">
        <f>Y15</f>
        <v>2</v>
      </c>
      <c r="BL4" s="19">
        <f>Y16</f>
        <v>2</v>
      </c>
      <c r="BM4" s="19">
        <f>Y17</f>
        <v>2</v>
      </c>
      <c r="BN4" s="19">
        <f>Y18</f>
        <v>2</v>
      </c>
      <c r="BO4" s="19">
        <f>Y19</f>
        <v>2</v>
      </c>
      <c r="BP4" s="19">
        <f>Y20</f>
        <v>2</v>
      </c>
      <c r="BQ4" s="19">
        <f>Y21</f>
        <v>1</v>
      </c>
      <c r="BR4" s="19">
        <f>Y22</f>
        <v>0</v>
      </c>
      <c r="BS4" s="19">
        <f>Y23</f>
        <v>0</v>
      </c>
      <c r="BT4" s="22">
        <f>Y24</f>
        <v>0</v>
      </c>
    </row>
    <row r="5" spans="1:72" x14ac:dyDescent="0.2">
      <c r="A5" s="31" t="s">
        <v>102</v>
      </c>
      <c r="B5" s="16">
        <f>Calcs!B23</f>
        <v>3.1461620542470055</v>
      </c>
      <c r="C5" s="14" t="s">
        <v>3</v>
      </c>
      <c r="P5" s="3"/>
      <c r="V5" s="24">
        <v>1</v>
      </c>
      <c r="W5" s="5" t="s">
        <v>217</v>
      </c>
      <c r="X5" s="5" t="s">
        <v>112</v>
      </c>
      <c r="Y5" s="5">
        <v>1</v>
      </c>
      <c r="Z5" s="5" t="s">
        <v>127</v>
      </c>
      <c r="AA5" s="207">
        <v>23.29</v>
      </c>
      <c r="AB5" s="207">
        <v>67.02</v>
      </c>
      <c r="AC5" s="224">
        <v>6.9</v>
      </c>
      <c r="AD5" s="34">
        <v>5.1100000000000003</v>
      </c>
      <c r="AE5" s="18" t="e">
        <f t="shared" si="0"/>
        <v>#N/A</v>
      </c>
      <c r="AF5" s="96" t="e">
        <f t="shared" ref="AF5:AF24" si="8">IF(OR(W5="",Z5&lt;&gt;""),NA(),AP5+AD5-AC5  -  $B$7)</f>
        <v>#N/A</v>
      </c>
      <c r="AG5" s="18" t="e">
        <f t="shared" ref="AG5:AG24" si="9">IF(OR(W5="",Z5&lt;&gt;"",$AE$4&lt;0),NA(),180/PI()*ACOS(SIN(RADIANS(AW5))*SIN(RADIANS($AW$4))+COS(RADIANS(AW5))*COS(RADIANS($AW$4))*COS(RADIANS(15*(AN5-$AN$4)))))</f>
        <v>#N/A</v>
      </c>
      <c r="AH5" s="18" t="e">
        <f>IF(OR($AE$4&lt;0,AE5&lt;0),NA(),  Calcs!$B$62*10^(-0.4*Calcs!$B$63*_xlfn.SEC(RADIANS(90-$AE$4)))  *  (1 - 10^(-0.4*Calcs!$B$63*_xlfn.SEC(RADIANS(90-AE5))))  *  (  10^5.36 * (1.06+ (COS(RADIANS(AG5))^2)) + 10^(6.15 - AG5/40) )  )</f>
        <v>#N/A</v>
      </c>
      <c r="AI5" s="220" t="e">
        <f t="shared" ref="AI5:AI24" si="10">IF(OR($AE$4&lt;0,AE5&lt;0),NA(),  22.5 - 1.086* LN(AH5/34.08) )</f>
        <v>#N/A</v>
      </c>
      <c r="AK5" s="238"/>
      <c r="AL5" s="46" t="e">
        <f>IF(AK5="",NA(),1/SIN(RADIANS(AK5)))</f>
        <v>#N/A</v>
      </c>
      <c r="AM5" s="220" t="e">
        <f t="shared" ref="AM5:AM24" si="11">IF(AK5="",NA(),180/PI()/15*ACOS( (SIN(RADIANS(AK5)) - SIN(RADIANS($B$3))*SIN(RADIANS(AW5)))/(COS(RADIANS($B$3))*COS(RADIANS(AW5))) ))</f>
        <v>#N/A</v>
      </c>
      <c r="AN5" s="68" t="e">
        <f t="shared" si="1"/>
        <v>#N/A</v>
      </c>
      <c r="AO5" s="64" t="e">
        <f t="shared" si="2"/>
        <v>#N/A</v>
      </c>
      <c r="AP5" s="65" t="e">
        <f t="shared" si="3"/>
        <v>#N/A</v>
      </c>
      <c r="AQ5" s="64" t="e">
        <f t="shared" si="4"/>
        <v>#N/A</v>
      </c>
      <c r="AR5" s="64" t="e">
        <f t="shared" si="5"/>
        <v>#N/A</v>
      </c>
      <c r="AS5" s="35" t="e">
        <f t="shared" si="6"/>
        <v>#N/A</v>
      </c>
      <c r="AT5" s="35" t="e">
        <f t="shared" si="7"/>
        <v>#N/A</v>
      </c>
      <c r="AU5" s="35" t="e">
        <f t="shared" ref="AU5:AU24" si="12">IF(OR(AN5&lt;-1*AD5,AF5&lt;0,AE5&lt;30),NA(),AF5)</f>
        <v>#N/A</v>
      </c>
      <c r="AV5" s="65">
        <f t="shared" ref="AV5:AV24" si="13">IF(AA5="",NA(),INT(AA5) + 100*MOD(AA5,1)/60)</f>
        <v>23.483333333333331</v>
      </c>
      <c r="AW5" s="212">
        <f t="shared" ref="AW5:AW24" si="14">IF(AB5="",NA(),IF(AB5&gt;0,INT(AB5) + 100*MOD(AB5,1)/60,-INT(-AB5) - 100*MOD(-AB5,1)/60))</f>
        <v>67.033333333333331</v>
      </c>
      <c r="AY5" s="29">
        <f>INT($B$16)-8</f>
        <v>-1</v>
      </c>
      <c r="AZ5" s="3">
        <f t="shared" ref="AZ5:AZ37" si="15">180/PI()*ASIN(SIN(RADIANS($B$3))*SIN(RADIANS($AW$4)) + COS(RADIANS($B$3))*COS(RADIANS($AW$4))*COS(RADIANS(15*(AY5+$B$5-$AV$4))))</f>
        <v>15.857360496757829</v>
      </c>
      <c r="BA5" s="3" t="e">
        <f t="shared" ref="BA5:BA37" si="16">IF(OR($W$5="",$Z$5&lt;&gt;""),NA(),180/PI()*ASIN(SIN(RADIANS($B$3))*SIN(RADIANS($AW$5)) + COS(RADIANS($B$3))*COS(RADIANS($AW$5))*COS(RADIANS(15*(AY5+$B$5-$AV$5)))))</f>
        <v>#N/A</v>
      </c>
      <c r="BB5" s="3">
        <f t="shared" ref="BB5:BB37" si="17">IF(OR($W$6="",$Z$6&lt;&gt;""),NA(),180/PI()*ASIN(SIN(RADIANS($B$3))*SIN(RADIANS($AW$6)) + COS(RADIANS($B$3))*COS(RADIANS($AW$6))*COS(RADIANS(15*(AY5+$B$5-$AV$6)))))</f>
        <v>33.999449341732898</v>
      </c>
      <c r="BC5" s="3">
        <f t="shared" ref="BC5:BC37" si="18">IF(OR($W$7="",$Z$7&lt;&gt;""),NA(),180/PI()*ASIN(SIN(RADIANS($B$3))*SIN(RADIANS($AW$7)) + COS(RADIANS($B$3))*COS(RADIANS($AW$7))*COS(RADIANS(15*(AY5+$B$5-$AV$7)))))</f>
        <v>67.517201782932318</v>
      </c>
      <c r="BD5" s="3">
        <f t="shared" ref="BD5:BD37" si="19">IF(OR($W$8="",$Z$8&lt;&gt;""),NA(),180/PI()*ASIN(SIN(RADIANS($B$3))*SIN(RADIANS($AW$8)) + COS(RADIANS($B$3))*COS(RADIANS($AW$8))*COS(RADIANS(15*(AY5+$B$5-$AV$8)))))</f>
        <v>60.045299056741825</v>
      </c>
      <c r="BE5" s="3">
        <f t="shared" ref="BE5:BE37" si="20">IF(OR($W$9="",$Z$9&lt;&gt;""),NA(),180/PI()*ASIN(SIN(RADIANS($B$3))*SIN(RADIANS($AW$9)) + COS(RADIANS($B$3))*COS(RADIANS($AW$9))*COS(RADIANS(15*(AY5+$B$5-$AV$9)))))</f>
        <v>60.544456426341291</v>
      </c>
      <c r="BF5" s="3" t="e">
        <f t="shared" ref="BF5:BF37" si="21">IF(OR($W$10="",$Z$10&lt;&gt;""),NA(),180/PI()*ASIN(SIN(RADIANS($B$3))*SIN(RADIANS($AW$10)) + COS(RADIANS($B$3))*COS(RADIANS($AW$10))*COS(RADIANS(15*(AY5+$B$5-$AV$10)))))</f>
        <v>#N/A</v>
      </c>
      <c r="BG5" s="3" t="e">
        <f t="shared" ref="BG5:BG37" si="22">IF(OR($W$11="",$Z$11&lt;&gt;""),NA(),180/PI()*ASIN(SIN(RADIANS($B$3))*SIN(RADIANS($AW$11)) + COS(RADIANS($B$3))*COS(RADIANS($AW$11))*COS(RADIANS(15*(AY5+$B$5-$AV$11)))))</f>
        <v>#N/A</v>
      </c>
      <c r="BH5" s="3" t="e">
        <f t="shared" ref="BH5:BH37" si="23">IF(OR($W$12="",$Z$12&lt;&gt;""),NA(),180/PI()*ASIN(SIN(RADIANS($B$3))*SIN(RADIANS($AW$12)) + COS(RADIANS($B$3))*COS(RADIANS($AW$12))*COS(RADIANS(15*(AY5+$B$5-$AV$12)))))</f>
        <v>#N/A</v>
      </c>
      <c r="BI5" s="3">
        <f t="shared" ref="BI5:BI37" si="24">IF(OR($W$13="",$Z$13&lt;&gt;""),NA(),180/PI()*ASIN(SIN(RADIANS($B$3))*SIN(RADIANS($AW$13)) + COS(RADIANS($B$3))*COS(RADIANS($AW$13))*COS(RADIANS(15*(AY5+$B$5-$AV$13)))))</f>
        <v>45.862161947387705</v>
      </c>
      <c r="BJ5" s="3">
        <f t="shared" ref="BJ5:BJ37" si="25">IF(OR($W$14="",$Z$14&lt;&gt;""),NA(),180/PI()*ASIN(SIN(RADIANS($B$3))*SIN(RADIANS($AW$14)) + COS(RADIANS($B$3))*COS(RADIANS($AW$14))*COS(RADIANS(15*(AY5+$B$5-$AV$14)))))</f>
        <v>52.128180695299839</v>
      </c>
      <c r="BK5" s="3">
        <f t="shared" ref="BK5:BK37" si="26">IF(OR($W$15="",$Z$15&lt;&gt;""),NA(),180/PI()*ASIN(SIN(RADIANS($B$3))*SIN(RADIANS($AW$15)) + COS(RADIANS($B$3))*COS(RADIANS($AW$15))*COS(RADIANS(15*(AY5+$B$5-$AV$15)))))</f>
        <v>11.462903814717745</v>
      </c>
      <c r="BL5" s="3">
        <f t="shared" ref="BL5:BL37" si="27">IF(OR($W$16="",$Z$16&lt;&gt;""),NA(),180/PI()*ASIN(SIN(RADIANS($B$3))*SIN(RADIANS($AW$16)) + COS(RADIANS($B$3))*COS(RADIANS($AW$16))*COS(RADIANS(15*(AY5+$B$5-$AV$16)))))</f>
        <v>-0.81615094037976321</v>
      </c>
      <c r="BM5" s="3">
        <f t="shared" ref="BM5:BM37" si="28">IF(OR($W$17="",$Z$17&lt;&gt;""),NA(),180/PI()*ASIN(SIN(RADIANS($B$3))*SIN(RADIANS($AW$17)) + COS(RADIANS($B$3))*COS(RADIANS($AW$17))*COS(RADIANS(15*(AY5+$B$5-$AV$17)))))</f>
        <v>-25.298706443977157</v>
      </c>
      <c r="BN5" s="3" t="e">
        <f t="shared" ref="BN5:BN37" si="29">IF(OR($W$18="",$Z$18&lt;&gt;""),NA(),180/PI()*ASIN(SIN(RADIANS($B$3))*SIN(RADIANS($AW$18)) + COS(RADIANS($B$3))*COS(RADIANS($AW$18))*COS(RADIANS(15*(AY5+$B$5-$AV$18)))))</f>
        <v>#N/A</v>
      </c>
      <c r="BO5" s="3">
        <f t="shared" ref="BO5:BO37" si="30">IF(OR($W$19="",$Z$19&lt;&gt;""),NA(),180/PI()*ASIN(SIN(RADIANS($B$3))*SIN(RADIANS($AW$19)) + COS(RADIANS($B$3))*COS(RADIANS($AW$19))*COS(RADIANS(15*(AY5+$B$5-$AV$19)))))</f>
        <v>27.175513665606481</v>
      </c>
      <c r="BP5" s="3">
        <f t="shared" ref="BP5:BP37" si="31">IF(OR($W$20="",$Z$20&lt;&gt;""),NA(),180/PI()*ASIN(SIN(RADIANS($B$3))*SIN(RADIANS($AW$20)) + COS(RADIANS($B$3))*COS(RADIANS($AW$20))*COS(RADIANS(15*(AY5+$B$5-$AV$20)))))</f>
        <v>45.524015396046245</v>
      </c>
      <c r="BQ5" s="3">
        <f t="shared" ref="BQ5:BQ37" si="32">IF(OR($W$21="",$Z$21&lt;&gt;""),NA(),180/PI()*ASIN(SIN(RADIANS($B$3))*SIN(RADIANS($AW$21)) + COS(RADIANS($B$3))*COS(RADIANS($AW$21))*COS(RADIANS(15*(AY5+$B$5-$AV$21)))))</f>
        <v>53.231126095710913</v>
      </c>
      <c r="BR5" s="3" t="e">
        <f t="shared" ref="BR5:BR37" si="33">IF(OR($W$22="",$Z$22&lt;&gt;""),NA(),180/PI()*ASIN(SIN(RADIANS($B$3))*SIN(RADIANS($AW$22)) + COS(RADIANS($B$3))*COS(RADIANS($AW$22))*COS(RADIANS(15*(AY5+$B$5-$AV$22)))))</f>
        <v>#N/A</v>
      </c>
      <c r="BS5" s="3" t="e">
        <f t="shared" ref="BS5:BS37" si="34">IF(OR($W$23="",$Z$23&lt;&gt;""),NA(),180/PI()*ASIN(SIN(RADIANS($B$3))*SIN(RADIANS($AW$23)) + COS(RADIANS($B$3))*COS(RADIANS($AW$23))*COS(RADIANS(15*(AY5+$B$5-$AV$23)))))</f>
        <v>#N/A</v>
      </c>
      <c r="BT5" s="7" t="e">
        <f t="shared" ref="BT5:BT37" si="35">IF(OR($W$24="",$Z$24&lt;&gt;""),NA(),180/PI()*ASIN(SIN(RADIANS($B$3))*SIN(RADIANS($AW$24)) + COS(RADIANS($B$3))*COS(RADIANS($AW$24))*COS(RADIANS(15*(AY5+$B$5-$AV$24)))))</f>
        <v>#N/A</v>
      </c>
    </row>
    <row r="6" spans="1:72" x14ac:dyDescent="0.2">
      <c r="A6" s="31" t="s">
        <v>42</v>
      </c>
      <c r="B6" s="42">
        <f>MOD(B7+B5,24)</f>
        <v>12.812828720913673</v>
      </c>
      <c r="C6" s="14" t="s">
        <v>3</v>
      </c>
      <c r="P6" s="3"/>
      <c r="V6" s="24">
        <v>2</v>
      </c>
      <c r="W6" s="5" t="s">
        <v>218</v>
      </c>
      <c r="X6" s="5" t="s">
        <v>112</v>
      </c>
      <c r="Y6" s="5">
        <v>1</v>
      </c>
      <c r="Z6" s="5"/>
      <c r="AA6" s="207">
        <v>21.04</v>
      </c>
      <c r="AB6" s="207">
        <v>55.35</v>
      </c>
      <c r="AC6" s="224">
        <v>4.2</v>
      </c>
      <c r="AD6" s="34">
        <v>4.96</v>
      </c>
      <c r="AE6" s="18">
        <f t="shared" si="0"/>
        <v>10.42969703750903</v>
      </c>
      <c r="AF6" s="96">
        <f t="shared" si="8"/>
        <v>9.0138379457529965</v>
      </c>
      <c r="AG6" s="18" t="e">
        <f t="shared" si="9"/>
        <v>#N/A</v>
      </c>
      <c r="AH6" s="18" t="e">
        <f>IF(OR($AE$4&lt;0,AE6&lt;0),NA(),  Calcs!$B$62*10^(-0.4*Calcs!$B$63*_xlfn.SEC(RADIANS(90-$AE$4)))  *  (1 - 10^(-0.4*Calcs!$B$63*_xlfn.SEC(RADIANS(90-AE6))))  *  (  10^5.36 * (1.06+ (COS(RADIANS(AG6))^2)) + 10^(6.15 - AG6/40) )  )</f>
        <v>#N/A</v>
      </c>
      <c r="AI6" s="220" t="e">
        <f t="shared" si="10"/>
        <v>#N/A</v>
      </c>
      <c r="AK6" s="238"/>
      <c r="AL6" s="46" t="e">
        <f t="shared" ref="AL6:AL24" si="36">IF(AK6="",NA(),1/SIN(RADIANS(AK6)))</f>
        <v>#N/A</v>
      </c>
      <c r="AM6" s="220" t="e">
        <f t="shared" si="11"/>
        <v>#N/A</v>
      </c>
      <c r="AN6" s="68">
        <f t="shared" si="1"/>
        <v>-8.2538379457529931</v>
      </c>
      <c r="AO6" s="64">
        <f t="shared" si="2"/>
        <v>28.523977690260025</v>
      </c>
      <c r="AP6" s="65">
        <f t="shared" si="3"/>
        <v>17.920504612419663</v>
      </c>
      <c r="AQ6" s="64">
        <f t="shared" si="4"/>
        <v>67.11666666666666</v>
      </c>
      <c r="AR6" s="64">
        <f t="shared" si="5"/>
        <v>-45.31367243155772</v>
      </c>
      <c r="AS6" s="35">
        <f t="shared" si="6"/>
        <v>-0.4221880869557656</v>
      </c>
      <c r="AT6" s="35">
        <f t="shared" si="7"/>
        <v>0.77679831894254525</v>
      </c>
      <c r="AU6" s="35" t="e">
        <f t="shared" si="12"/>
        <v>#N/A</v>
      </c>
      <c r="AV6" s="65">
        <f t="shared" si="13"/>
        <v>21.066666666666666</v>
      </c>
      <c r="AW6" s="212">
        <f t="shared" si="14"/>
        <v>55.583333333333336</v>
      </c>
      <c r="AY6" s="29">
        <f t="shared" ref="AY6:AY37" si="37">AY5+0.5</f>
        <v>-0.5</v>
      </c>
      <c r="AZ6" s="3">
        <f t="shared" si="15"/>
        <v>10.217680608668887</v>
      </c>
      <c r="BA6" s="3" t="e">
        <f t="shared" si="16"/>
        <v>#N/A</v>
      </c>
      <c r="BB6" s="3">
        <f t="shared" si="17"/>
        <v>29.862874470708743</v>
      </c>
      <c r="BC6" s="3">
        <f t="shared" si="18"/>
        <v>64.036018505325202</v>
      </c>
      <c r="BD6" s="3">
        <f t="shared" si="19"/>
        <v>58.139462211336351</v>
      </c>
      <c r="BE6" s="3">
        <f t="shared" si="20"/>
        <v>59.230033249761576</v>
      </c>
      <c r="BF6" s="3" t="e">
        <f t="shared" si="21"/>
        <v>#N/A</v>
      </c>
      <c r="BG6" s="3" t="e">
        <f t="shared" si="22"/>
        <v>#N/A</v>
      </c>
      <c r="BH6" s="3" t="e">
        <f t="shared" si="23"/>
        <v>#N/A</v>
      </c>
      <c r="BI6" s="3">
        <f t="shared" si="24"/>
        <v>50.416946069797064</v>
      </c>
      <c r="BJ6" s="3">
        <f t="shared" si="25"/>
        <v>58.167445589473019</v>
      </c>
      <c r="BK6" s="3">
        <f t="shared" si="26"/>
        <v>17.739359271588601</v>
      </c>
      <c r="BL6" s="3">
        <f t="shared" si="27"/>
        <v>5.4646895706297745</v>
      </c>
      <c r="BM6" s="3">
        <f t="shared" si="28"/>
        <v>-19.101673911453926</v>
      </c>
      <c r="BN6" s="3" t="e">
        <f t="shared" si="29"/>
        <v>#N/A</v>
      </c>
      <c r="BO6" s="3">
        <f t="shared" si="30"/>
        <v>22.578623294263423</v>
      </c>
      <c r="BP6" s="3">
        <f t="shared" si="31"/>
        <v>41.428445112572192</v>
      </c>
      <c r="BQ6" s="3">
        <f t="shared" si="32"/>
        <v>50.238724620866797</v>
      </c>
      <c r="BR6" s="3" t="e">
        <f t="shared" si="33"/>
        <v>#N/A</v>
      </c>
      <c r="BS6" s="3" t="e">
        <f t="shared" si="34"/>
        <v>#N/A</v>
      </c>
      <c r="BT6" s="7" t="e">
        <f t="shared" si="35"/>
        <v>#N/A</v>
      </c>
    </row>
    <row r="7" spans="1:72" ht="17" thickBot="1" x14ac:dyDescent="0.25">
      <c r="A7" s="31" t="s">
        <v>35</v>
      </c>
      <c r="B7" s="16">
        <f>INT(B8) + 100*MOD(B8,1)/60</f>
        <v>9.6666666666666679</v>
      </c>
      <c r="C7" s="14" t="s">
        <v>3</v>
      </c>
      <c r="P7" s="3"/>
      <c r="V7" s="24">
        <v>3</v>
      </c>
      <c r="W7" s="5" t="s">
        <v>219</v>
      </c>
      <c r="X7" s="5" t="s">
        <v>115</v>
      </c>
      <c r="Y7" s="5">
        <v>2</v>
      </c>
      <c r="Z7" s="5"/>
      <c r="AA7" s="207">
        <v>0.59</v>
      </c>
      <c r="AB7" s="207">
        <v>51.13</v>
      </c>
      <c r="AC7" s="224">
        <v>7.0000000000000007E-2</v>
      </c>
      <c r="AD7" s="34">
        <v>2.5</v>
      </c>
      <c r="AE7" s="18">
        <f t="shared" si="0"/>
        <v>-6.0530805113652608</v>
      </c>
      <c r="AF7" s="96">
        <f t="shared" si="8"/>
        <v>14.600504612419659</v>
      </c>
      <c r="AG7" s="18" t="e">
        <f t="shared" si="9"/>
        <v>#N/A</v>
      </c>
      <c r="AH7" s="18" t="e">
        <f>IF(OR($AE$4&lt;0,AE7&lt;0),NA(),  Calcs!$B$62*10^(-0.4*Calcs!$B$63*_xlfn.SEC(RADIANS(90-$AE$4)))  *  (1 - 10^(-0.4*Calcs!$B$63*_xlfn.SEC(RADIANS(90-AE7))))  *  (  10^5.36 * (1.06+ (COS(RADIANS(AG7))^2)) + 10^(6.15 - AG7/40) )  )</f>
        <v>#N/A</v>
      </c>
      <c r="AI7" s="220" t="e">
        <f t="shared" si="10"/>
        <v>#N/A</v>
      </c>
      <c r="AK7" s="238"/>
      <c r="AL7" s="46" t="e">
        <f t="shared" si="36"/>
        <v>#N/A</v>
      </c>
      <c r="AM7" s="220" t="e">
        <f t="shared" si="11"/>
        <v>#N/A</v>
      </c>
      <c r="AN7" s="68">
        <f t="shared" si="1"/>
        <v>11.829495387580341</v>
      </c>
      <c r="AO7" s="64">
        <f t="shared" si="2"/>
        <v>358.38933824779127</v>
      </c>
      <c r="AP7" s="65">
        <f t="shared" si="3"/>
        <v>21.837171279086327</v>
      </c>
      <c r="AQ7" s="64">
        <f t="shared" si="4"/>
        <v>71.483333333333334</v>
      </c>
      <c r="AR7" s="64">
        <f t="shared" si="5"/>
        <v>2.1640845962440589</v>
      </c>
      <c r="AS7" s="35" t="e">
        <f t="shared" si="6"/>
        <v>#N/A</v>
      </c>
      <c r="AT7" s="35" t="e">
        <f t="shared" si="7"/>
        <v>#N/A</v>
      </c>
      <c r="AU7" s="35" t="e">
        <f t="shared" si="12"/>
        <v>#N/A</v>
      </c>
      <c r="AV7" s="65">
        <f t="shared" si="13"/>
        <v>0.98333333333333328</v>
      </c>
      <c r="AW7" s="212">
        <f t="shared" si="14"/>
        <v>51.216666666666669</v>
      </c>
      <c r="AY7" s="29">
        <f t="shared" si="37"/>
        <v>0</v>
      </c>
      <c r="AZ7" s="3">
        <f t="shared" si="15"/>
        <v>4.3719928023574637</v>
      </c>
      <c r="BA7" s="3" t="e">
        <f t="shared" si="16"/>
        <v>#N/A</v>
      </c>
      <c r="BB7" s="3">
        <f t="shared" si="17"/>
        <v>25.834478607391031</v>
      </c>
      <c r="BC7" s="3">
        <f t="shared" si="18"/>
        <v>59.993285689581732</v>
      </c>
      <c r="BD7" s="3">
        <f t="shared" si="19"/>
        <v>55.670229547813605</v>
      </c>
      <c r="BE7" s="3">
        <f t="shared" si="20"/>
        <v>57.261450945290207</v>
      </c>
      <c r="BF7" s="3" t="e">
        <f t="shared" si="21"/>
        <v>#N/A</v>
      </c>
      <c r="BG7" s="3" t="e">
        <f t="shared" si="22"/>
        <v>#N/A</v>
      </c>
      <c r="BH7" s="3" t="e">
        <f t="shared" si="23"/>
        <v>#N/A</v>
      </c>
      <c r="BI7" s="3">
        <f t="shared" si="24"/>
        <v>54.163908536452361</v>
      </c>
      <c r="BJ7" s="3">
        <f t="shared" si="25"/>
        <v>64.243758227097189</v>
      </c>
      <c r="BK7" s="3">
        <f t="shared" si="26"/>
        <v>23.948451676476811</v>
      </c>
      <c r="BL7" s="3">
        <f t="shared" si="27"/>
        <v>11.685315774008501</v>
      </c>
      <c r="BM7" s="3">
        <f t="shared" si="28"/>
        <v>-12.991061943472083</v>
      </c>
      <c r="BN7" s="3" t="e">
        <f t="shared" si="29"/>
        <v>#N/A</v>
      </c>
      <c r="BO7" s="3">
        <f t="shared" si="30"/>
        <v>18.152556586211233</v>
      </c>
      <c r="BP7" s="3">
        <f t="shared" si="31"/>
        <v>37.317509686775459</v>
      </c>
      <c r="BQ7" s="3">
        <f t="shared" si="32"/>
        <v>47.002334254568339</v>
      </c>
      <c r="BR7" s="3" t="e">
        <f t="shared" si="33"/>
        <v>#N/A</v>
      </c>
      <c r="BS7" s="3" t="e">
        <f t="shared" si="34"/>
        <v>#N/A</v>
      </c>
      <c r="BT7" s="7" t="e">
        <f t="shared" si="35"/>
        <v>#N/A</v>
      </c>
    </row>
    <row r="8" spans="1:72" ht="17" thickBot="1" x14ac:dyDescent="0.25">
      <c r="A8" s="31" t="s">
        <v>35</v>
      </c>
      <c r="B8" s="117">
        <v>9.4</v>
      </c>
      <c r="C8" s="14" t="s">
        <v>124</v>
      </c>
      <c r="P8" s="3"/>
      <c r="V8" s="24">
        <v>4</v>
      </c>
      <c r="W8" s="36" t="s">
        <v>220</v>
      </c>
      <c r="X8" s="36" t="s">
        <v>115</v>
      </c>
      <c r="Y8" s="5">
        <v>2</v>
      </c>
      <c r="Z8" s="36"/>
      <c r="AA8" s="207">
        <v>1.0900000000000001</v>
      </c>
      <c r="AB8" s="207">
        <v>61.02</v>
      </c>
      <c r="AC8" s="224">
        <v>0.17166666666666666</v>
      </c>
      <c r="AD8" s="100">
        <v>4.3600000000000003</v>
      </c>
      <c r="AE8" s="18">
        <f t="shared" si="0"/>
        <v>3.8244439776426296</v>
      </c>
      <c r="AF8" s="96">
        <f t="shared" si="8"/>
        <v>16.52550461241966</v>
      </c>
      <c r="AG8" s="18" t="e">
        <f t="shared" si="9"/>
        <v>#N/A</v>
      </c>
      <c r="AH8" s="18" t="e">
        <f>IF(OR($AE$4&lt;0,AE8&lt;0),NA(),  Calcs!$B$62*10^(-0.4*Calcs!$B$63*_xlfn.SEC(RADIANS(90-$AE$4)))  *  (1 - 10^(-0.4*Calcs!$B$63*_xlfn.SEC(RADIANS(90-AE8))))  *  (  10^5.36 * (1.06+ (COS(RADIANS(AG8))^2)) + 10^(6.15 - AG8/40) )  )</f>
        <v>#N/A</v>
      </c>
      <c r="AI8" s="220" t="e">
        <f t="shared" si="10"/>
        <v>#N/A</v>
      </c>
      <c r="AK8" s="238"/>
      <c r="AL8" s="46" t="e">
        <f t="shared" si="36"/>
        <v>#N/A</v>
      </c>
      <c r="AM8" s="220" t="e">
        <f t="shared" si="11"/>
        <v>#N/A</v>
      </c>
      <c r="AN8" s="68">
        <f t="shared" si="1"/>
        <v>11.662828720913673</v>
      </c>
      <c r="AO8" s="64">
        <f t="shared" si="2"/>
        <v>357.54758692772731</v>
      </c>
      <c r="AP8" s="65">
        <f t="shared" si="3"/>
        <v>22.003837945752995</v>
      </c>
      <c r="AQ8" s="64">
        <f t="shared" si="4"/>
        <v>61.666666666666671</v>
      </c>
      <c r="AR8" s="64">
        <f t="shared" si="5"/>
        <v>4.2638952766569442</v>
      </c>
      <c r="AS8" s="35">
        <f t="shared" si="6"/>
        <v>4.0971320090333586E-2</v>
      </c>
      <c r="AT8" s="35">
        <f t="shared" si="7"/>
        <v>0.95662920292471887</v>
      </c>
      <c r="AU8" s="35" t="e">
        <f t="shared" si="12"/>
        <v>#N/A</v>
      </c>
      <c r="AV8" s="65">
        <f t="shared" si="13"/>
        <v>1.1500000000000001</v>
      </c>
      <c r="AW8" s="212">
        <f t="shared" si="14"/>
        <v>61.033333333333339</v>
      </c>
      <c r="AY8" s="29">
        <f t="shared" si="37"/>
        <v>0.5</v>
      </c>
      <c r="AZ8" s="3">
        <f t="shared" si="15"/>
        <v>-1.6329306079357193</v>
      </c>
      <c r="BA8" s="3" t="e">
        <f t="shared" si="16"/>
        <v>#N/A</v>
      </c>
      <c r="BB8" s="3">
        <f t="shared" si="17"/>
        <v>21.949487930465768</v>
      </c>
      <c r="BC8" s="3">
        <f t="shared" si="18"/>
        <v>55.614134894203403</v>
      </c>
      <c r="BD8" s="3">
        <f t="shared" si="19"/>
        <v>52.77185679842102</v>
      </c>
      <c r="BE8" s="3">
        <f t="shared" si="20"/>
        <v>54.766098079713629</v>
      </c>
      <c r="BF8" s="3" t="e">
        <f t="shared" si="21"/>
        <v>#N/A</v>
      </c>
      <c r="BG8" s="3" t="e">
        <f t="shared" si="22"/>
        <v>#N/A</v>
      </c>
      <c r="BH8" s="3" t="e">
        <f t="shared" si="23"/>
        <v>#N/A</v>
      </c>
      <c r="BI8" s="3">
        <f t="shared" si="24"/>
        <v>56.820754658322933</v>
      </c>
      <c r="BJ8" s="3">
        <f t="shared" si="25"/>
        <v>70.33661605718828</v>
      </c>
      <c r="BK8" s="3">
        <f t="shared" si="26"/>
        <v>30.04518905290233</v>
      </c>
      <c r="BL8" s="3">
        <f t="shared" si="27"/>
        <v>17.80823024965213</v>
      </c>
      <c r="BM8" s="3">
        <f t="shared" si="28"/>
        <v>-6.9931671583320538</v>
      </c>
      <c r="BN8" s="3" t="e">
        <f t="shared" si="29"/>
        <v>#N/A</v>
      </c>
      <c r="BO8" s="3">
        <f t="shared" si="30"/>
        <v>13.930729388717619</v>
      </c>
      <c r="BP8" s="3">
        <f t="shared" si="31"/>
        <v>33.23914896308434</v>
      </c>
      <c r="BQ8" s="3">
        <f t="shared" si="32"/>
        <v>43.605732482264607</v>
      </c>
      <c r="BR8" s="3" t="e">
        <f t="shared" si="33"/>
        <v>#N/A</v>
      </c>
      <c r="BS8" s="3" t="e">
        <f t="shared" si="34"/>
        <v>#N/A</v>
      </c>
      <c r="BT8" s="7" t="e">
        <f t="shared" si="35"/>
        <v>#N/A</v>
      </c>
    </row>
    <row r="9" spans="1:72" ht="17" thickBot="1" x14ac:dyDescent="0.25">
      <c r="A9" s="8"/>
      <c r="B9" s="9"/>
      <c r="C9" s="15"/>
      <c r="D9" s="1"/>
      <c r="V9" s="24">
        <v>5</v>
      </c>
      <c r="W9" s="5" t="s">
        <v>221</v>
      </c>
      <c r="X9" s="5" t="s">
        <v>115</v>
      </c>
      <c r="Y9" s="5">
        <v>2</v>
      </c>
      <c r="Z9" s="5"/>
      <c r="AA9" s="207">
        <v>1.33</v>
      </c>
      <c r="AB9" s="207">
        <v>61.35</v>
      </c>
      <c r="AC9" s="224">
        <v>0.13666666666666669</v>
      </c>
      <c r="AD9" s="34">
        <v>4.3499999999999996</v>
      </c>
      <c r="AE9" s="18">
        <f t="shared" si="0"/>
        <v>4.7106162985033393</v>
      </c>
      <c r="AF9" s="96">
        <f t="shared" si="8"/>
        <v>16.950504612419657</v>
      </c>
      <c r="AG9" s="18" t="e">
        <f t="shared" si="9"/>
        <v>#N/A</v>
      </c>
      <c r="AH9" s="18" t="e">
        <f>IF(OR($AE$4&lt;0,AE9&lt;0),NA(),  Calcs!$B$62*10^(-0.4*Calcs!$B$63*_xlfn.SEC(RADIANS(90-$AE$4)))  *  (1 - 10^(-0.4*Calcs!$B$63*_xlfn.SEC(RADIANS(90-AE9))))  *  (  10^5.36 * (1.06+ (COS(RADIANS(AG9))^2)) + 10^(6.15 - AG9/40) )  )</f>
        <v>#N/A</v>
      </c>
      <c r="AI9" s="220" t="e">
        <f t="shared" si="10"/>
        <v>#N/A</v>
      </c>
      <c r="AK9" s="238"/>
      <c r="AL9" s="46" t="e">
        <f t="shared" si="36"/>
        <v>#N/A</v>
      </c>
      <c r="AM9" s="220" t="e">
        <f t="shared" si="11"/>
        <v>#N/A</v>
      </c>
      <c r="AN9" s="68">
        <f t="shared" si="1"/>
        <v>11.262828720913673</v>
      </c>
      <c r="AO9" s="64">
        <f t="shared" si="2"/>
        <v>354.74544061931766</v>
      </c>
      <c r="AP9" s="65">
        <f t="shared" si="3"/>
        <v>22.403837945752993</v>
      </c>
      <c r="AQ9" s="64">
        <f t="shared" si="4"/>
        <v>61.116666666666667</v>
      </c>
      <c r="AR9" s="64">
        <f t="shared" si="5"/>
        <v>9.3197948960674264</v>
      </c>
      <c r="AS9" s="35">
        <f t="shared" si="6"/>
        <v>8.6787501913958426E-2</v>
      </c>
      <c r="AT9" s="35">
        <f t="shared" si="7"/>
        <v>0.94367741409846972</v>
      </c>
      <c r="AU9" s="35" t="e">
        <f t="shared" si="12"/>
        <v>#N/A</v>
      </c>
      <c r="AV9" s="65">
        <f t="shared" si="13"/>
        <v>1.5500000000000003</v>
      </c>
      <c r="AW9" s="212">
        <f t="shared" si="14"/>
        <v>61.583333333333336</v>
      </c>
      <c r="AY9" s="29">
        <f t="shared" si="37"/>
        <v>1</v>
      </c>
      <c r="AZ9" s="3">
        <f t="shared" si="15"/>
        <v>-7.7587954851544456</v>
      </c>
      <c r="BA9" s="3" t="e">
        <f t="shared" si="16"/>
        <v>#N/A</v>
      </c>
      <c r="BB9" s="3">
        <f t="shared" si="17"/>
        <v>18.242241112648721</v>
      </c>
      <c r="BC9" s="3">
        <f t="shared" si="18"/>
        <v>51.043562344542011</v>
      </c>
      <c r="BD9" s="3">
        <f t="shared" si="19"/>
        <v>49.563374131874461</v>
      </c>
      <c r="BE9" s="3">
        <f t="shared" si="20"/>
        <v>51.870238406246649</v>
      </c>
      <c r="BF9" s="3" t="e">
        <f t="shared" si="21"/>
        <v>#N/A</v>
      </c>
      <c r="BG9" s="3" t="e">
        <f t="shared" si="22"/>
        <v>#N/A</v>
      </c>
      <c r="BH9" s="3" t="e">
        <f t="shared" si="23"/>
        <v>#N/A</v>
      </c>
      <c r="BI9" s="3">
        <f t="shared" si="24"/>
        <v>58.108986425226952</v>
      </c>
      <c r="BJ9" s="3">
        <f t="shared" si="25"/>
        <v>76.408446556493203</v>
      </c>
      <c r="BK9" s="3">
        <f t="shared" si="26"/>
        <v>35.970654674183457</v>
      </c>
      <c r="BL9" s="3">
        <f t="shared" si="27"/>
        <v>23.787902647892064</v>
      </c>
      <c r="BM9" s="3">
        <f t="shared" si="28"/>
        <v>-1.1382246165515584</v>
      </c>
      <c r="BN9" s="3" t="e">
        <f t="shared" si="29"/>
        <v>#N/A</v>
      </c>
      <c r="BO9" s="3">
        <f t="shared" si="30"/>
        <v>9.9485377010056411</v>
      </c>
      <c r="BP9" s="3">
        <f t="shared" si="31"/>
        <v>29.234706755170386</v>
      </c>
      <c r="BQ9" s="3">
        <f t="shared" si="32"/>
        <v>40.117769146316938</v>
      </c>
      <c r="BR9" s="3" t="e">
        <f t="shared" si="33"/>
        <v>#N/A</v>
      </c>
      <c r="BS9" s="3" t="e">
        <f t="shared" si="34"/>
        <v>#N/A</v>
      </c>
      <c r="BT9" s="7" t="e">
        <f t="shared" si="35"/>
        <v>#N/A</v>
      </c>
    </row>
    <row r="10" spans="1:72" ht="17" thickBot="1" x14ac:dyDescent="0.25">
      <c r="V10" s="24">
        <v>6</v>
      </c>
      <c r="W10" s="5" t="s">
        <v>222</v>
      </c>
      <c r="X10" s="5" t="s">
        <v>115</v>
      </c>
      <c r="Y10" s="5">
        <v>2</v>
      </c>
      <c r="Z10" s="5" t="s">
        <v>118</v>
      </c>
      <c r="AA10" s="207">
        <v>3.01</v>
      </c>
      <c r="AB10" s="207">
        <v>60.34</v>
      </c>
      <c r="AC10" s="224">
        <v>9.5000000000000001E-2</v>
      </c>
      <c r="AD10" s="34">
        <v>4.3600000000000003</v>
      </c>
      <c r="AE10" s="18" t="e">
        <f t="shared" si="0"/>
        <v>#N/A</v>
      </c>
      <c r="AF10" s="96" t="e">
        <f t="shared" si="8"/>
        <v>#N/A</v>
      </c>
      <c r="AG10" s="18" t="e">
        <f t="shared" si="9"/>
        <v>#N/A</v>
      </c>
      <c r="AH10" s="18" t="e">
        <f>IF(OR($AE$4&lt;0,AE10&lt;0),NA(),  Calcs!$B$62*10^(-0.4*Calcs!$B$63*_xlfn.SEC(RADIANS(90-$AE$4)))  *  (1 - 10^(-0.4*Calcs!$B$63*_xlfn.SEC(RADIANS(90-AE10))))  *  (  10^5.36 * (1.06+ (COS(RADIANS(AG10))^2)) + 10^(6.15 - AG10/40) )  )</f>
        <v>#N/A</v>
      </c>
      <c r="AI10" s="220" t="e">
        <f t="shared" si="10"/>
        <v>#N/A</v>
      </c>
      <c r="AK10" s="238"/>
      <c r="AL10" s="46" t="e">
        <f t="shared" si="36"/>
        <v>#N/A</v>
      </c>
      <c r="AM10" s="220" t="e">
        <f t="shared" si="11"/>
        <v>#N/A</v>
      </c>
      <c r="AN10" s="68" t="e">
        <f t="shared" si="1"/>
        <v>#N/A</v>
      </c>
      <c r="AO10" s="64" t="e">
        <f t="shared" si="2"/>
        <v>#N/A</v>
      </c>
      <c r="AP10" s="65" t="e">
        <f t="shared" si="3"/>
        <v>#N/A</v>
      </c>
      <c r="AQ10" s="64" t="e">
        <f t="shared" si="4"/>
        <v>#N/A</v>
      </c>
      <c r="AR10" s="64" t="e">
        <f t="shared" si="5"/>
        <v>#N/A</v>
      </c>
      <c r="AS10" s="35" t="e">
        <f t="shared" si="6"/>
        <v>#N/A</v>
      </c>
      <c r="AT10" s="35" t="e">
        <f t="shared" si="7"/>
        <v>#N/A</v>
      </c>
      <c r="AU10" s="35" t="e">
        <f t="shared" si="12"/>
        <v>#N/A</v>
      </c>
      <c r="AV10" s="65">
        <f t="shared" si="13"/>
        <v>3.0166666666666662</v>
      </c>
      <c r="AW10" s="212">
        <f t="shared" si="14"/>
        <v>60.56666666666667</v>
      </c>
      <c r="AY10" s="29">
        <f t="shared" si="37"/>
        <v>1.5</v>
      </c>
      <c r="AZ10" s="3">
        <f t="shared" si="15"/>
        <v>-13.973118424042072</v>
      </c>
      <c r="BA10" s="3" t="e">
        <f t="shared" si="16"/>
        <v>#N/A</v>
      </c>
      <c r="BB10" s="3">
        <f t="shared" si="17"/>
        <v>14.746968687500623</v>
      </c>
      <c r="BC10" s="3">
        <f t="shared" si="18"/>
        <v>46.377071292031481</v>
      </c>
      <c r="BD10" s="3">
        <f t="shared" si="19"/>
        <v>46.143644900195568</v>
      </c>
      <c r="BE10" s="3">
        <f t="shared" si="20"/>
        <v>48.685391592437817</v>
      </c>
      <c r="BF10" s="3" t="e">
        <f t="shared" si="21"/>
        <v>#N/A</v>
      </c>
      <c r="BG10" s="3" t="e">
        <f t="shared" si="22"/>
        <v>#N/A</v>
      </c>
      <c r="BH10" s="3" t="e">
        <f t="shared" si="23"/>
        <v>#N/A</v>
      </c>
      <c r="BI10" s="3">
        <f t="shared" si="24"/>
        <v>57.86144504445128</v>
      </c>
      <c r="BJ10" s="3">
        <f t="shared" si="25"/>
        <v>82.333735644250936</v>
      </c>
      <c r="BK10" s="3">
        <f t="shared" si="26"/>
        <v>41.643605913849164</v>
      </c>
      <c r="BL10" s="3">
        <f t="shared" si="27"/>
        <v>29.566133109754901</v>
      </c>
      <c r="BM10" s="3">
        <f t="shared" si="28"/>
        <v>4.5378234959084036</v>
      </c>
      <c r="BN10" s="3" t="e">
        <f t="shared" si="29"/>
        <v>#N/A</v>
      </c>
      <c r="BO10" s="3">
        <f t="shared" si="30"/>
        <v>6.2436233663249849</v>
      </c>
      <c r="BP10" s="3">
        <f t="shared" si="31"/>
        <v>25.341605479822309</v>
      </c>
      <c r="BQ10" s="3">
        <f t="shared" si="32"/>
        <v>36.595627320944466</v>
      </c>
      <c r="BR10" s="3" t="e">
        <f t="shared" si="33"/>
        <v>#N/A</v>
      </c>
      <c r="BS10" s="3" t="e">
        <f t="shared" si="34"/>
        <v>#N/A</v>
      </c>
      <c r="BT10" s="7" t="e">
        <f t="shared" si="35"/>
        <v>#N/A</v>
      </c>
    </row>
    <row r="11" spans="1:72" x14ac:dyDescent="0.2">
      <c r="A11" s="310" t="s">
        <v>69</v>
      </c>
      <c r="B11" s="311"/>
      <c r="C11" s="312"/>
      <c r="V11" s="24">
        <v>7</v>
      </c>
      <c r="W11" s="5" t="s">
        <v>223</v>
      </c>
      <c r="X11" s="5" t="s">
        <v>115</v>
      </c>
      <c r="Y11" s="5">
        <v>2</v>
      </c>
      <c r="Z11" s="5" t="s">
        <v>118</v>
      </c>
      <c r="AA11" s="207">
        <v>3.39</v>
      </c>
      <c r="AB11" s="207">
        <v>61.03</v>
      </c>
      <c r="AC11" s="224">
        <v>0.12666666666666665</v>
      </c>
      <c r="AD11" s="34">
        <v>4.3499999999999996</v>
      </c>
      <c r="AE11" s="18" t="e">
        <f t="shared" si="0"/>
        <v>#N/A</v>
      </c>
      <c r="AF11" s="96" t="e">
        <f t="shared" si="8"/>
        <v>#N/A</v>
      </c>
      <c r="AG11" s="18" t="e">
        <f t="shared" si="9"/>
        <v>#N/A</v>
      </c>
      <c r="AH11" s="18" t="e">
        <f>IF(OR($AE$4&lt;0,AE11&lt;0),NA(),  Calcs!$B$62*10^(-0.4*Calcs!$B$63*_xlfn.SEC(RADIANS(90-$AE$4)))  *  (1 - 10^(-0.4*Calcs!$B$63*_xlfn.SEC(RADIANS(90-AE11))))  *  (  10^5.36 * (1.06+ (COS(RADIANS(AG11))^2)) + 10^(6.15 - AG11/40) )  )</f>
        <v>#N/A</v>
      </c>
      <c r="AI11" s="220" t="e">
        <f t="shared" si="10"/>
        <v>#N/A</v>
      </c>
      <c r="AK11" s="238"/>
      <c r="AL11" s="46" t="e">
        <f t="shared" si="36"/>
        <v>#N/A</v>
      </c>
      <c r="AM11" s="220" t="e">
        <f t="shared" si="11"/>
        <v>#N/A</v>
      </c>
      <c r="AN11" s="68" t="e">
        <f t="shared" si="1"/>
        <v>#N/A</v>
      </c>
      <c r="AO11" s="64" t="e">
        <f t="shared" si="2"/>
        <v>#N/A</v>
      </c>
      <c r="AP11" s="65" t="e">
        <f t="shared" si="3"/>
        <v>#N/A</v>
      </c>
      <c r="AQ11" s="64" t="e">
        <f t="shared" si="4"/>
        <v>#N/A</v>
      </c>
      <c r="AR11" s="64" t="e">
        <f t="shared" si="5"/>
        <v>#N/A</v>
      </c>
      <c r="AS11" s="35" t="e">
        <f t="shared" si="6"/>
        <v>#N/A</v>
      </c>
      <c r="AT11" s="35" t="e">
        <f t="shared" si="7"/>
        <v>#N/A</v>
      </c>
      <c r="AU11" s="35" t="e">
        <f t="shared" si="12"/>
        <v>#N/A</v>
      </c>
      <c r="AV11" s="65">
        <f t="shared" si="13"/>
        <v>3.6500000000000004</v>
      </c>
      <c r="AW11" s="212">
        <f t="shared" si="14"/>
        <v>61.050000000000004</v>
      </c>
      <c r="AY11" s="29">
        <f t="shared" si="37"/>
        <v>2</v>
      </c>
      <c r="AZ11" s="3">
        <f t="shared" si="15"/>
        <v>-20.2468407919676</v>
      </c>
      <c r="BA11" s="3" t="e">
        <f t="shared" si="16"/>
        <v>#N/A</v>
      </c>
      <c r="BB11" s="3">
        <f t="shared" si="17"/>
        <v>11.498161395420235</v>
      </c>
      <c r="BC11" s="3">
        <f t="shared" si="18"/>
        <v>41.681328890624727</v>
      </c>
      <c r="BD11" s="3">
        <f t="shared" si="19"/>
        <v>42.592824902158725</v>
      </c>
      <c r="BE11" s="3">
        <f t="shared" si="20"/>
        <v>45.304579847803041</v>
      </c>
      <c r="BF11" s="3" t="e">
        <f t="shared" si="21"/>
        <v>#N/A</v>
      </c>
      <c r="BG11" s="3" t="e">
        <f t="shared" si="22"/>
        <v>#N/A</v>
      </c>
      <c r="BH11" s="3" t="e">
        <f t="shared" si="23"/>
        <v>#N/A</v>
      </c>
      <c r="BI11" s="3">
        <f t="shared" si="24"/>
        <v>56.112151633347544</v>
      </c>
      <c r="BJ11" s="3">
        <f t="shared" si="25"/>
        <v>86.923047779260699</v>
      </c>
      <c r="BK11" s="3">
        <f t="shared" si="26"/>
        <v>46.948150799830437</v>
      </c>
      <c r="BL11" s="3">
        <f t="shared" si="27"/>
        <v>35.065886708607984</v>
      </c>
      <c r="BM11" s="3">
        <f t="shared" si="28"/>
        <v>9.9914005202160681</v>
      </c>
      <c r="BN11" s="3" t="e">
        <f t="shared" si="29"/>
        <v>#N/A</v>
      </c>
      <c r="BO11" s="3">
        <f t="shared" si="30"/>
        <v>2.8557635231828007</v>
      </c>
      <c r="BP11" s="3">
        <f t="shared" si="31"/>
        <v>21.595134433390548</v>
      </c>
      <c r="BQ11" s="3">
        <f t="shared" si="32"/>
        <v>33.087897748661071</v>
      </c>
      <c r="BR11" s="3" t="e">
        <f t="shared" si="33"/>
        <v>#N/A</v>
      </c>
      <c r="BS11" s="3" t="e">
        <f t="shared" si="34"/>
        <v>#N/A</v>
      </c>
      <c r="BT11" s="7" t="e">
        <f t="shared" si="35"/>
        <v>#N/A</v>
      </c>
    </row>
    <row r="12" spans="1:72" x14ac:dyDescent="0.2">
      <c r="A12" s="150" t="s">
        <v>18</v>
      </c>
      <c r="B12" s="192">
        <f>INT(Calcs!B33) + MOD(Calcs!B33,1)*60/100</f>
        <v>1.1486350050189906</v>
      </c>
      <c r="C12" s="151" t="s">
        <v>141</v>
      </c>
      <c r="V12" s="24">
        <v>8</v>
      </c>
      <c r="W12" s="5" t="s">
        <v>224</v>
      </c>
      <c r="X12" s="5" t="s">
        <v>115</v>
      </c>
      <c r="Y12" s="5">
        <v>2</v>
      </c>
      <c r="Z12" s="5" t="s">
        <v>118</v>
      </c>
      <c r="AA12" s="207">
        <v>4.1500000000000004</v>
      </c>
      <c r="AB12" s="207">
        <v>47.25</v>
      </c>
      <c r="AC12" s="224">
        <v>9.5000000000000001E-2</v>
      </c>
      <c r="AD12" s="34">
        <v>4.3</v>
      </c>
      <c r="AE12" s="18" t="e">
        <f t="shared" si="0"/>
        <v>#N/A</v>
      </c>
      <c r="AF12" s="96" t="e">
        <f t="shared" si="8"/>
        <v>#N/A</v>
      </c>
      <c r="AG12" s="18" t="e">
        <f t="shared" si="9"/>
        <v>#N/A</v>
      </c>
      <c r="AH12" s="18" t="e">
        <f>IF(OR($AE$4&lt;0,AE12&lt;0),NA(),  Calcs!$B$62*10^(-0.4*Calcs!$B$63*_xlfn.SEC(RADIANS(90-$AE$4)))  *  (1 - 10^(-0.4*Calcs!$B$63*_xlfn.SEC(RADIANS(90-AE12))))  *  (  10^5.36 * (1.06+ (COS(RADIANS(AG12))^2)) + 10^(6.15 - AG12/40) )  )</f>
        <v>#N/A</v>
      </c>
      <c r="AI12" s="220" t="e">
        <f t="shared" si="10"/>
        <v>#N/A</v>
      </c>
      <c r="AK12" s="238"/>
      <c r="AL12" s="46" t="e">
        <f t="shared" si="36"/>
        <v>#N/A</v>
      </c>
      <c r="AM12" s="220" t="e">
        <f t="shared" si="11"/>
        <v>#N/A</v>
      </c>
      <c r="AN12" s="68" t="e">
        <f t="shared" si="1"/>
        <v>#N/A</v>
      </c>
      <c r="AO12" s="64" t="e">
        <f t="shared" si="2"/>
        <v>#N/A</v>
      </c>
      <c r="AP12" s="65" t="e">
        <f t="shared" si="3"/>
        <v>#N/A</v>
      </c>
      <c r="AQ12" s="64" t="e">
        <f t="shared" si="4"/>
        <v>#N/A</v>
      </c>
      <c r="AR12" s="64" t="e">
        <f t="shared" si="5"/>
        <v>#N/A</v>
      </c>
      <c r="AS12" s="35" t="e">
        <f t="shared" si="6"/>
        <v>#N/A</v>
      </c>
      <c r="AT12" s="35" t="e">
        <f t="shared" si="7"/>
        <v>#N/A</v>
      </c>
      <c r="AU12" s="35" t="e">
        <f t="shared" si="12"/>
        <v>#N/A</v>
      </c>
      <c r="AV12" s="65">
        <f t="shared" si="13"/>
        <v>4.2500000000000009</v>
      </c>
      <c r="AW12" s="212">
        <f t="shared" si="14"/>
        <v>47.416666666666664</v>
      </c>
      <c r="AY12" s="29">
        <f t="shared" si="37"/>
        <v>2.5</v>
      </c>
      <c r="AZ12" s="3">
        <f t="shared" si="15"/>
        <v>-26.551971561349109</v>
      </c>
      <c r="BA12" s="3" t="e">
        <f t="shared" si="16"/>
        <v>#N/A</v>
      </c>
      <c r="BB12" s="3">
        <f t="shared" si="17"/>
        <v>8.5305679149054221</v>
      </c>
      <c r="BC12" s="3">
        <f t="shared" si="18"/>
        <v>37.006505597031087</v>
      </c>
      <c r="BD12" s="3">
        <f t="shared" si="19"/>
        <v>38.976073577705598</v>
      </c>
      <c r="BE12" s="3">
        <f t="shared" si="20"/>
        <v>41.803846631913018</v>
      </c>
      <c r="BF12" s="3" t="e">
        <f t="shared" si="21"/>
        <v>#N/A</v>
      </c>
      <c r="BG12" s="3" t="e">
        <f t="shared" si="22"/>
        <v>#N/A</v>
      </c>
      <c r="BH12" s="3" t="e">
        <f t="shared" si="23"/>
        <v>#N/A</v>
      </c>
      <c r="BI12" s="3">
        <f t="shared" si="24"/>
        <v>53.076506553790935</v>
      </c>
      <c r="BJ12" s="3">
        <f t="shared" si="25"/>
        <v>83.910100893896782</v>
      </c>
      <c r="BK12" s="3">
        <f t="shared" si="26"/>
        <v>51.71704245280327</v>
      </c>
      <c r="BL12" s="3">
        <f t="shared" si="27"/>
        <v>40.183314575684008</v>
      </c>
      <c r="BM12" s="3">
        <f t="shared" si="28"/>
        <v>15.169186203698654</v>
      </c>
      <c r="BN12" s="3" t="e">
        <f t="shared" si="29"/>
        <v>#N/A</v>
      </c>
      <c r="BO12" s="3">
        <f t="shared" si="30"/>
        <v>-0.1736781946141556</v>
      </c>
      <c r="BP12" s="3">
        <f t="shared" si="31"/>
        <v>18.029609677241083</v>
      </c>
      <c r="BQ12" s="3">
        <f t="shared" si="32"/>
        <v>29.637089417951319</v>
      </c>
      <c r="BR12" s="3" t="e">
        <f t="shared" si="33"/>
        <v>#N/A</v>
      </c>
      <c r="BS12" s="3" t="e">
        <f t="shared" si="34"/>
        <v>#N/A</v>
      </c>
      <c r="BT12" s="7" t="e">
        <f t="shared" si="35"/>
        <v>#N/A</v>
      </c>
    </row>
    <row r="13" spans="1:72" x14ac:dyDescent="0.2">
      <c r="A13" s="150" t="s">
        <v>21</v>
      </c>
      <c r="B13" s="192">
        <f>INT(Calcs!B34) + MOD(Calcs!B34,1)*60/100</f>
        <v>2.081225523111911</v>
      </c>
      <c r="C13" s="151" t="s">
        <v>141</v>
      </c>
      <c r="V13" s="24">
        <v>9</v>
      </c>
      <c r="W13" s="51" t="s">
        <v>225</v>
      </c>
      <c r="X13" s="52" t="s">
        <v>115</v>
      </c>
      <c r="Y13" s="51">
        <v>2</v>
      </c>
      <c r="Z13" s="52"/>
      <c r="AA13" s="207">
        <v>4.1900000000000004</v>
      </c>
      <c r="AB13" s="207">
        <v>0.54</v>
      </c>
      <c r="AC13" s="99">
        <v>0.11333333333333334</v>
      </c>
      <c r="AD13" s="53">
        <v>2.7</v>
      </c>
      <c r="AE13" s="18">
        <f t="shared" si="0"/>
        <v>-30.202615836606515</v>
      </c>
      <c r="AF13" s="96">
        <f t="shared" si="8"/>
        <v>-5.9094953875803391</v>
      </c>
      <c r="AG13" s="18" t="e">
        <f t="shared" si="9"/>
        <v>#N/A</v>
      </c>
      <c r="AH13" s="18" t="e">
        <f>IF(OR($AE$4&lt;0,AE13&lt;0),NA(),  Calcs!$B$62*10^(-0.4*Calcs!$B$63*_xlfn.SEC(RADIANS(90-$AE$4)))  *  (1 - 10^(-0.4*Calcs!$B$63*_xlfn.SEC(RADIANS(90-AE13))))  *  (  10^5.36 * (1.06+ (COS(RADIANS(AG13))^2)) + 10^(6.15 - AG13/40) )  )</f>
        <v>#N/A</v>
      </c>
      <c r="AI13" s="220" t="e">
        <f t="shared" si="10"/>
        <v>#N/A</v>
      </c>
      <c r="AK13" s="238"/>
      <c r="AL13" s="46" t="e">
        <f t="shared" si="36"/>
        <v>#N/A</v>
      </c>
      <c r="AM13" s="220" t="e">
        <f t="shared" si="11"/>
        <v>#N/A</v>
      </c>
      <c r="AN13" s="68">
        <f t="shared" si="1"/>
        <v>8.4961620542470051</v>
      </c>
      <c r="AO13" s="64">
        <f t="shared" si="2"/>
        <v>293.28362201839224</v>
      </c>
      <c r="AP13" s="65">
        <f t="shared" si="3"/>
        <v>1.1705046124196619</v>
      </c>
      <c r="AQ13" s="64">
        <f t="shared" si="4"/>
        <v>58.199999999999996</v>
      </c>
      <c r="AR13" s="64">
        <f t="shared" si="5"/>
        <v>50.630651081137941</v>
      </c>
      <c r="AS13" s="35" t="e">
        <f t="shared" si="6"/>
        <v>#N/A</v>
      </c>
      <c r="AT13" s="35" t="e">
        <f t="shared" si="7"/>
        <v>#N/A</v>
      </c>
      <c r="AU13" s="35" t="e">
        <f t="shared" si="12"/>
        <v>#N/A</v>
      </c>
      <c r="AV13" s="65">
        <f t="shared" si="13"/>
        <v>4.3166666666666673</v>
      </c>
      <c r="AW13" s="212">
        <f t="shared" si="14"/>
        <v>0.9</v>
      </c>
      <c r="AY13" s="29">
        <f t="shared" si="37"/>
        <v>3</v>
      </c>
      <c r="AZ13" s="3">
        <f t="shared" si="15"/>
        <v>-32.858876431809172</v>
      </c>
      <c r="BA13" s="3" t="e">
        <f t="shared" si="16"/>
        <v>#N/A</v>
      </c>
      <c r="BB13" s="3">
        <f t="shared" si="17"/>
        <v>5.878833132786804</v>
      </c>
      <c r="BC13" s="3">
        <f t="shared" si="18"/>
        <v>32.393515652285558</v>
      </c>
      <c r="BD13" s="3">
        <f t="shared" si="19"/>
        <v>35.347415490351622</v>
      </c>
      <c r="BE13" s="3">
        <f t="shared" si="20"/>
        <v>38.245613254605971</v>
      </c>
      <c r="BF13" s="3" t="e">
        <f t="shared" si="21"/>
        <v>#N/A</v>
      </c>
      <c r="BG13" s="3" t="e">
        <f t="shared" si="22"/>
        <v>#N/A</v>
      </c>
      <c r="BH13" s="3" t="e">
        <f t="shared" si="23"/>
        <v>#N/A</v>
      </c>
      <c r="BI13" s="3">
        <f t="shared" si="24"/>
        <v>49.043968680249542</v>
      </c>
      <c r="BJ13" s="3">
        <f t="shared" si="25"/>
        <v>78.105498125973483</v>
      </c>
      <c r="BK13" s="3">
        <f t="shared" si="26"/>
        <v>55.714482111014711</v>
      </c>
      <c r="BL13" s="3">
        <f t="shared" si="27"/>
        <v>44.778624238022232</v>
      </c>
      <c r="BM13" s="3">
        <f t="shared" si="28"/>
        <v>20.005962869816482</v>
      </c>
      <c r="BN13" s="3" t="e">
        <f t="shared" si="29"/>
        <v>#N/A</v>
      </c>
      <c r="BO13" s="3">
        <f t="shared" si="30"/>
        <v>-2.8028072238249213</v>
      </c>
      <c r="BP13" s="3">
        <f t="shared" si="31"/>
        <v>14.679058553207312</v>
      </c>
      <c r="BQ13" s="3">
        <f t="shared" si="32"/>
        <v>26.281535467922726</v>
      </c>
      <c r="BR13" s="3" t="e">
        <f t="shared" si="33"/>
        <v>#N/A</v>
      </c>
      <c r="BS13" s="3" t="e">
        <f t="shared" si="34"/>
        <v>#N/A</v>
      </c>
      <c r="BT13" s="7" t="e">
        <f t="shared" si="35"/>
        <v>#N/A</v>
      </c>
    </row>
    <row r="14" spans="1:72" x14ac:dyDescent="0.2">
      <c r="A14" s="150" t="s">
        <v>20</v>
      </c>
      <c r="B14" s="192">
        <f>INT(Calcs!B35) + MOD(Calcs!B35,1)*60/100</f>
        <v>2.3664857217310047</v>
      </c>
      <c r="C14" s="151" t="s">
        <v>141</v>
      </c>
      <c r="V14" s="24">
        <v>10</v>
      </c>
      <c r="W14" s="51" t="s">
        <v>226</v>
      </c>
      <c r="X14" s="52" t="s">
        <v>115</v>
      </c>
      <c r="Y14" s="51">
        <v>1</v>
      </c>
      <c r="Z14" s="52"/>
      <c r="AA14" s="207">
        <v>5.13</v>
      </c>
      <c r="AB14" s="207">
        <v>35.39</v>
      </c>
      <c r="AC14" s="99">
        <v>3.3333333333333333E-2</v>
      </c>
      <c r="AD14" s="53">
        <v>4.0999999999999996</v>
      </c>
      <c r="AE14" s="18">
        <f t="shared" si="0"/>
        <v>2.1415643855978832</v>
      </c>
      <c r="AF14" s="96">
        <f t="shared" si="8"/>
        <v>-3.5294953875803401</v>
      </c>
      <c r="AG14" s="18" t="e">
        <f t="shared" si="9"/>
        <v>#N/A</v>
      </c>
      <c r="AH14" s="18" t="e">
        <f>IF(OR($AE$4&lt;0,AE14&lt;0),NA(),  Calcs!$B$62*10^(-0.4*Calcs!$B$63*_xlfn.SEC(RADIANS(90-$AE$4)))  *  (1 - 10^(-0.4*Calcs!$B$63*_xlfn.SEC(RADIANS(90-AE14))))  *  (  10^5.36 * (1.06+ (COS(RADIANS(AG14))^2)) + 10^(6.15 - AG14/40) )  )</f>
        <v>#N/A</v>
      </c>
      <c r="AI14" s="220" t="e">
        <f t="shared" si="10"/>
        <v>#N/A</v>
      </c>
      <c r="AK14" s="238"/>
      <c r="AL14" s="46" t="e">
        <f t="shared" si="36"/>
        <v>#N/A</v>
      </c>
      <c r="AM14" s="220" t="e">
        <f t="shared" si="11"/>
        <v>#N/A</v>
      </c>
      <c r="AN14" s="68">
        <f t="shared" si="1"/>
        <v>7.5961620542470065</v>
      </c>
      <c r="AO14" s="64">
        <f t="shared" si="2"/>
        <v>311.99605108348419</v>
      </c>
      <c r="AP14" s="65">
        <f t="shared" si="3"/>
        <v>2.0705046124196613</v>
      </c>
      <c r="AQ14" s="64">
        <f t="shared" si="4"/>
        <v>87.05000000000004</v>
      </c>
      <c r="AR14" s="64">
        <f t="shared" si="5"/>
        <v>50.321520736964231</v>
      </c>
      <c r="AS14" s="35">
        <f t="shared" si="6"/>
        <v>0.72550659402210282</v>
      </c>
      <c r="AT14" s="35">
        <f t="shared" si="7"/>
        <v>0.65315853510637423</v>
      </c>
      <c r="AU14" s="35" t="e">
        <f t="shared" si="12"/>
        <v>#N/A</v>
      </c>
      <c r="AV14" s="65">
        <f t="shared" si="13"/>
        <v>5.2166666666666668</v>
      </c>
      <c r="AW14" s="212">
        <f t="shared" si="14"/>
        <v>35.65</v>
      </c>
      <c r="AY14" s="29">
        <f t="shared" si="37"/>
        <v>3.5</v>
      </c>
      <c r="AZ14" s="3">
        <f t="shared" si="15"/>
        <v>-39.132585589290542</v>
      </c>
      <c r="BA14" s="3" t="e">
        <f t="shared" si="16"/>
        <v>#N/A</v>
      </c>
      <c r="BB14" s="3">
        <f t="shared" si="17"/>
        <v>3.5767829033995344</v>
      </c>
      <c r="BC14" s="3">
        <f t="shared" si="18"/>
        <v>27.878352986023245</v>
      </c>
      <c r="BD14" s="3">
        <f t="shared" si="19"/>
        <v>31.752989137161709</v>
      </c>
      <c r="BE14" s="3">
        <f t="shared" si="20"/>
        <v>34.682137126489984</v>
      </c>
      <c r="BF14" s="3" t="e">
        <f t="shared" si="21"/>
        <v>#N/A</v>
      </c>
      <c r="BG14" s="3" t="e">
        <f t="shared" si="22"/>
        <v>#N/A</v>
      </c>
      <c r="BH14" s="3" t="e">
        <f t="shared" si="23"/>
        <v>#N/A</v>
      </c>
      <c r="BI14" s="3">
        <f t="shared" si="24"/>
        <v>44.283610247461127</v>
      </c>
      <c r="BJ14" s="3">
        <f t="shared" si="25"/>
        <v>72.053654941280271</v>
      </c>
      <c r="BK14" s="3">
        <f t="shared" si="26"/>
        <v>58.635118021348418</v>
      </c>
      <c r="BL14" s="3">
        <f t="shared" si="27"/>
        <v>48.669166303215263</v>
      </c>
      <c r="BM14" s="3">
        <f t="shared" si="28"/>
        <v>24.422828009618581</v>
      </c>
      <c r="BN14" s="3" t="e">
        <f t="shared" si="29"/>
        <v>#N/A</v>
      </c>
      <c r="BO14" s="3">
        <f t="shared" si="30"/>
        <v>-4.9907963003025451</v>
      </c>
      <c r="BP14" s="3">
        <f t="shared" si="31"/>
        <v>11.577509751589304</v>
      </c>
      <c r="BQ14" s="3">
        <f t="shared" si="32"/>
        <v>23.056765375075763</v>
      </c>
      <c r="BR14" s="3" t="e">
        <f t="shared" si="33"/>
        <v>#N/A</v>
      </c>
      <c r="BS14" s="3" t="e">
        <f t="shared" si="34"/>
        <v>#N/A</v>
      </c>
      <c r="BT14" s="7" t="e">
        <f t="shared" si="35"/>
        <v>#N/A</v>
      </c>
    </row>
    <row r="15" spans="1:72" x14ac:dyDescent="0.2">
      <c r="A15" s="152"/>
      <c r="B15" s="192"/>
      <c r="C15" s="151"/>
      <c r="V15" s="24">
        <v>11</v>
      </c>
      <c r="W15" s="51" t="s">
        <v>227</v>
      </c>
      <c r="X15" s="52" t="s">
        <v>115</v>
      </c>
      <c r="Y15" s="51">
        <v>2</v>
      </c>
      <c r="Z15" s="52"/>
      <c r="AA15" s="207">
        <v>7.22</v>
      </c>
      <c r="AB15" s="207">
        <v>3.01</v>
      </c>
      <c r="AC15" s="99">
        <v>9.5000000000000001E-2</v>
      </c>
      <c r="AD15" s="53">
        <v>2.8</v>
      </c>
      <c r="AE15" s="18">
        <f t="shared" si="0"/>
        <v>8.6182190584695668</v>
      </c>
      <c r="AF15" s="96">
        <f t="shared" si="8"/>
        <v>-2.741162054247007</v>
      </c>
      <c r="AG15" s="18" t="e">
        <f t="shared" si="9"/>
        <v>#N/A</v>
      </c>
      <c r="AH15" s="18" t="e">
        <f>IF(OR($AE$4&lt;0,AE15&lt;0),NA(),  Calcs!$B$62*10^(-0.4*Calcs!$B$63*_xlfn.SEC(RADIANS(90-$AE$4)))  *  (1 - 10^(-0.4*Calcs!$B$63*_xlfn.SEC(RADIANS(90-AE15))))  *  (  10^5.36 * (1.06+ (COS(RADIANS(AG15))^2)) + 10^(6.15 - AG15/40) )  )</f>
        <v>#N/A</v>
      </c>
      <c r="AI15" s="220" t="e">
        <f t="shared" si="10"/>
        <v>#N/A</v>
      </c>
      <c r="AK15" s="238"/>
      <c r="AL15" s="46" t="e">
        <f t="shared" si="36"/>
        <v>#N/A</v>
      </c>
      <c r="AM15" s="220" t="e">
        <f t="shared" si="11"/>
        <v>#N/A</v>
      </c>
      <c r="AN15" s="68">
        <f t="shared" si="1"/>
        <v>5.4461620542470071</v>
      </c>
      <c r="AO15" s="64">
        <f t="shared" si="2"/>
        <v>268.04880351633301</v>
      </c>
      <c r="AP15" s="65">
        <f t="shared" si="3"/>
        <v>4.2205046124196608</v>
      </c>
      <c r="AQ15" s="64">
        <f t="shared" si="4"/>
        <v>60.316666666666677</v>
      </c>
      <c r="AR15" s="64">
        <f t="shared" si="5"/>
        <v>57.372096943899244</v>
      </c>
      <c r="AS15" s="35">
        <f t="shared" si="6"/>
        <v>0.90371772301801956</v>
      </c>
      <c r="AT15" s="35">
        <f t="shared" si="7"/>
        <v>-3.0787831792605934E-2</v>
      </c>
      <c r="AU15" s="35" t="e">
        <f t="shared" si="12"/>
        <v>#N/A</v>
      </c>
      <c r="AV15" s="65">
        <f t="shared" si="13"/>
        <v>7.3666666666666663</v>
      </c>
      <c r="AW15" s="212">
        <f t="shared" si="14"/>
        <v>3.0166666666666662</v>
      </c>
      <c r="AY15" s="29">
        <f t="shared" si="37"/>
        <v>4</v>
      </c>
      <c r="AZ15" s="3">
        <f t="shared" si="15"/>
        <v>-45.326971744722989</v>
      </c>
      <c r="BA15" s="3" t="e">
        <f t="shared" si="16"/>
        <v>#N/A</v>
      </c>
      <c r="BB15" s="3">
        <f t="shared" si="17"/>
        <v>1.6563795584649681</v>
      </c>
      <c r="BC15" s="3">
        <f t="shared" si="18"/>
        <v>23.494776248785154</v>
      </c>
      <c r="BD15" s="3">
        <f t="shared" si="19"/>
        <v>28.23354199970592</v>
      </c>
      <c r="BE15" s="3">
        <f t="shared" si="20"/>
        <v>31.158430653520711</v>
      </c>
      <c r="BF15" s="3" t="e">
        <f t="shared" si="21"/>
        <v>#N/A</v>
      </c>
      <c r="BG15" s="3" t="e">
        <f t="shared" si="22"/>
        <v>#N/A</v>
      </c>
      <c r="BH15" s="3" t="e">
        <f t="shared" si="23"/>
        <v>#N/A</v>
      </c>
      <c r="BI15" s="3">
        <f t="shared" si="24"/>
        <v>39.006375246348014</v>
      </c>
      <c r="BJ15" s="3">
        <f t="shared" si="25"/>
        <v>65.961495424222889</v>
      </c>
      <c r="BK15" s="3">
        <f t="shared" si="26"/>
        <v>60.155102931783382</v>
      </c>
      <c r="BL15" s="3">
        <f t="shared" si="27"/>
        <v>51.633560615496471</v>
      </c>
      <c r="BM15" s="3">
        <f t="shared" si="28"/>
        <v>28.326620512578874</v>
      </c>
      <c r="BN15" s="3" t="e">
        <f t="shared" si="29"/>
        <v>#N/A</v>
      </c>
      <c r="BO15" s="3">
        <f t="shared" si="30"/>
        <v>-6.6999826130958651</v>
      </c>
      <c r="BP15" s="3">
        <f t="shared" si="31"/>
        <v>8.7589252424590285</v>
      </c>
      <c r="BQ15" s="3">
        <f t="shared" si="32"/>
        <v>19.996430723808441</v>
      </c>
      <c r="BR15" s="3" t="e">
        <f t="shared" si="33"/>
        <v>#N/A</v>
      </c>
      <c r="BS15" s="3" t="e">
        <f t="shared" si="34"/>
        <v>#N/A</v>
      </c>
      <c r="BT15" s="7" t="e">
        <f t="shared" si="35"/>
        <v>#N/A</v>
      </c>
    </row>
    <row r="16" spans="1:72" x14ac:dyDescent="0.2">
      <c r="A16" s="150" t="s">
        <v>26</v>
      </c>
      <c r="B16" s="192">
        <f>INT(Calcs!B27) + MOD(Calcs!B27,1)*60/100</f>
        <v>7.3228898656409696</v>
      </c>
      <c r="C16" s="151" t="s">
        <v>141</v>
      </c>
      <c r="V16" s="24">
        <v>12</v>
      </c>
      <c r="W16" s="51" t="s">
        <v>228</v>
      </c>
      <c r="X16" s="52" t="s">
        <v>115</v>
      </c>
      <c r="Y16" s="51">
        <v>2</v>
      </c>
      <c r="Z16" s="52"/>
      <c r="AA16" s="207">
        <v>8.0399999999999991</v>
      </c>
      <c r="AB16" s="207">
        <v>-3.22</v>
      </c>
      <c r="AC16" s="99">
        <v>0.15833333333333333</v>
      </c>
      <c r="AD16" s="53">
        <v>2.44</v>
      </c>
      <c r="AE16" s="18">
        <f t="shared" si="0"/>
        <v>13.833494928732289</v>
      </c>
      <c r="AF16" s="96">
        <f t="shared" si="8"/>
        <v>-2.4644953875803424</v>
      </c>
      <c r="AG16" s="18" t="e">
        <f t="shared" si="9"/>
        <v>#N/A</v>
      </c>
      <c r="AH16" s="18" t="e">
        <f>IF(OR($AE$4&lt;0,AE16&lt;0),NA(),  Calcs!$B$62*10^(-0.4*Calcs!$B$63*_xlfn.SEC(RADIANS(90-$AE$4)))  *  (1 - 10^(-0.4*Calcs!$B$63*_xlfn.SEC(RADIANS(90-AE16))))  *  (  10^5.36 * (1.06+ (COS(RADIANS(AG16))^2)) + 10^(6.15 - AG16/40) )  )</f>
        <v>#N/A</v>
      </c>
      <c r="AI16" s="220" t="e">
        <f t="shared" si="10"/>
        <v>#N/A</v>
      </c>
      <c r="AK16" s="238"/>
      <c r="AL16" s="46" t="e">
        <f t="shared" si="36"/>
        <v>#N/A</v>
      </c>
      <c r="AM16" s="220" t="e">
        <f t="shared" si="11"/>
        <v>#N/A</v>
      </c>
      <c r="AN16" s="68">
        <f t="shared" si="1"/>
        <v>4.7461620542470087</v>
      </c>
      <c r="AO16" s="64">
        <f t="shared" si="2"/>
        <v>256.70551376112184</v>
      </c>
      <c r="AP16" s="65">
        <f t="shared" si="3"/>
        <v>4.9205046124196592</v>
      </c>
      <c r="AQ16" s="64">
        <f t="shared" si="4"/>
        <v>53.933333333333337</v>
      </c>
      <c r="AR16" s="64">
        <f t="shared" si="5"/>
        <v>55.122347762488843</v>
      </c>
      <c r="AS16" s="35">
        <f t="shared" si="6"/>
        <v>0.82361466014624862</v>
      </c>
      <c r="AT16" s="35">
        <f t="shared" si="7"/>
        <v>-0.19461056924722439</v>
      </c>
      <c r="AU16" s="35" t="e">
        <f t="shared" si="12"/>
        <v>#N/A</v>
      </c>
      <c r="AV16" s="65">
        <f t="shared" si="13"/>
        <v>8.0666666666666647</v>
      </c>
      <c r="AW16" s="212">
        <f t="shared" si="14"/>
        <v>-3.3666666666666671</v>
      </c>
      <c r="AY16" s="29">
        <f t="shared" si="37"/>
        <v>4.5</v>
      </c>
      <c r="AZ16" s="3">
        <f t="shared" si="15"/>
        <v>-51.374523143676782</v>
      </c>
      <c r="BA16" s="3" t="e">
        <f t="shared" si="16"/>
        <v>#N/A</v>
      </c>
      <c r="BB16" s="3">
        <f t="shared" si="17"/>
        <v>0.14641237110122812</v>
      </c>
      <c r="BC16" s="3">
        <f t="shared" si="18"/>
        <v>19.27602124828044</v>
      </c>
      <c r="BD16" s="3">
        <f t="shared" si="19"/>
        <v>24.826250120673667</v>
      </c>
      <c r="BE16" s="3">
        <f t="shared" si="20"/>
        <v>27.714514595158438</v>
      </c>
      <c r="BF16" s="3" t="e">
        <f t="shared" si="21"/>
        <v>#N/A</v>
      </c>
      <c r="BG16" s="3" t="e">
        <f t="shared" si="22"/>
        <v>#N/A</v>
      </c>
      <c r="BH16" s="3" t="e">
        <f t="shared" si="23"/>
        <v>#N/A</v>
      </c>
      <c r="BI16" s="3">
        <f t="shared" si="24"/>
        <v>33.365576194621141</v>
      </c>
      <c r="BJ16" s="3">
        <f t="shared" si="25"/>
        <v>59.878082397054357</v>
      </c>
      <c r="BK16" s="3">
        <f t="shared" si="26"/>
        <v>60.057524051417161</v>
      </c>
      <c r="BL16" s="3">
        <f t="shared" si="27"/>
        <v>53.441314795753044</v>
      </c>
      <c r="BM16" s="3">
        <f t="shared" si="28"/>
        <v>31.611962011702083</v>
      </c>
      <c r="BN16" s="3" t="e">
        <f t="shared" si="29"/>
        <v>#N/A</v>
      </c>
      <c r="BO16" s="3">
        <f t="shared" si="30"/>
        <v>-7.8982976856317393</v>
      </c>
      <c r="BP16" s="3">
        <f t="shared" si="31"/>
        <v>6.2567891265439224</v>
      </c>
      <c r="BQ16" s="3">
        <f t="shared" si="32"/>
        <v>17.132856045499491</v>
      </c>
      <c r="BR16" s="3" t="e">
        <f t="shared" si="33"/>
        <v>#N/A</v>
      </c>
      <c r="BS16" s="3" t="e">
        <f t="shared" si="34"/>
        <v>#N/A</v>
      </c>
      <c r="BT16" s="7" t="e">
        <f t="shared" si="35"/>
        <v>#N/A</v>
      </c>
    </row>
    <row r="17" spans="1:72" x14ac:dyDescent="0.2">
      <c r="A17" s="152"/>
      <c r="B17" s="191"/>
      <c r="C17" s="151"/>
      <c r="V17" s="24">
        <v>13</v>
      </c>
      <c r="W17" s="51" t="s">
        <v>229</v>
      </c>
      <c r="X17" s="52" t="s">
        <v>115</v>
      </c>
      <c r="Y17" s="51">
        <v>2</v>
      </c>
      <c r="Z17" s="52"/>
      <c r="AA17" s="207">
        <v>9.19</v>
      </c>
      <c r="AB17" s="207">
        <v>-20.329999999999998</v>
      </c>
      <c r="AC17" s="99">
        <v>0.12666666666666665</v>
      </c>
      <c r="AD17" s="53">
        <v>1</v>
      </c>
      <c r="AE17" s="18">
        <f t="shared" si="0"/>
        <v>16.898146550694843</v>
      </c>
      <c r="AF17" s="96">
        <f t="shared" si="8"/>
        <v>-2.6228287209136738</v>
      </c>
      <c r="AG17" s="18" t="e">
        <f t="shared" si="9"/>
        <v>#N/A</v>
      </c>
      <c r="AH17" s="18" t="e">
        <f>IF(OR($AE$4&lt;0,AE17&lt;0),NA(),  Calcs!$B$62*10^(-0.4*Calcs!$B$63*_xlfn.SEC(RADIANS(90-$AE$4)))  *  (1 - 10^(-0.4*Calcs!$B$63*_xlfn.SEC(RADIANS(90-AE17))))  *  (  10^5.36 * (1.06+ (COS(RADIANS(AG17))^2)) + 10^(6.15 - AG17/40) )  )</f>
        <v>#N/A</v>
      </c>
      <c r="AI17" s="220" t="e">
        <f t="shared" si="10"/>
        <v>#N/A</v>
      </c>
      <c r="AK17" s="238"/>
      <c r="AL17" s="46" t="e">
        <f t="shared" si="36"/>
        <v>#N/A</v>
      </c>
      <c r="AM17" s="220" t="e">
        <f t="shared" si="11"/>
        <v>#N/A</v>
      </c>
      <c r="AN17" s="68">
        <f t="shared" si="1"/>
        <v>3.4961620542470069</v>
      </c>
      <c r="AO17" s="64">
        <f t="shared" si="2"/>
        <v>230.87694359453388</v>
      </c>
      <c r="AP17" s="65">
        <f t="shared" si="3"/>
        <v>6.170504612419661</v>
      </c>
      <c r="AQ17" s="64">
        <f t="shared" si="4"/>
        <v>36.750000000000007</v>
      </c>
      <c r="AR17" s="64">
        <f t="shared" si="5"/>
        <v>44.203068235028638</v>
      </c>
      <c r="AS17" s="35">
        <f t="shared" si="6"/>
        <v>0.63013192866607748</v>
      </c>
      <c r="AT17" s="35">
        <f t="shared" si="7"/>
        <v>-0.51251550687480252</v>
      </c>
      <c r="AU17" s="35" t="e">
        <f t="shared" si="12"/>
        <v>#N/A</v>
      </c>
      <c r="AV17" s="65">
        <f t="shared" si="13"/>
        <v>9.3166666666666664</v>
      </c>
      <c r="AW17" s="212">
        <f t="shared" si="14"/>
        <v>-20.549999999999997</v>
      </c>
      <c r="AY17" s="29">
        <f t="shared" si="37"/>
        <v>5</v>
      </c>
      <c r="AZ17" s="3">
        <f t="shared" si="15"/>
        <v>-57.167038369940038</v>
      </c>
      <c r="BA17" s="3" t="e">
        <f t="shared" si="16"/>
        <v>#N/A</v>
      </c>
      <c r="BB17" s="3">
        <f t="shared" si="17"/>
        <v>-0.92895841456014128</v>
      </c>
      <c r="BC17" s="3">
        <f t="shared" si="18"/>
        <v>15.255895181586451</v>
      </c>
      <c r="BD17" s="3">
        <f t="shared" si="19"/>
        <v>21.565984620185777</v>
      </c>
      <c r="BE17" s="3">
        <f t="shared" si="20"/>
        <v>24.387066199501433</v>
      </c>
      <c r="BF17" s="3" t="e">
        <f t="shared" si="21"/>
        <v>#N/A</v>
      </c>
      <c r="BG17" s="3" t="e">
        <f t="shared" si="22"/>
        <v>#N/A</v>
      </c>
      <c r="BH17" s="3" t="e">
        <f t="shared" si="23"/>
        <v>#N/A</v>
      </c>
      <c r="BI17" s="3">
        <f t="shared" si="24"/>
        <v>27.470131807235319</v>
      </c>
      <c r="BJ17" s="3">
        <f t="shared" si="25"/>
        <v>53.826648752530666</v>
      </c>
      <c r="BK17" s="3">
        <f t="shared" si="26"/>
        <v>58.357508760743606</v>
      </c>
      <c r="BL17" s="3">
        <f t="shared" si="27"/>
        <v>53.915632156408378</v>
      </c>
      <c r="BM17" s="3">
        <f t="shared" si="28"/>
        <v>34.167687550968949</v>
      </c>
      <c r="BN17" s="3" t="e">
        <f t="shared" si="29"/>
        <v>#N/A</v>
      </c>
      <c r="BO17" s="3">
        <f t="shared" si="30"/>
        <v>-8.5617260512629816</v>
      </c>
      <c r="BP17" s="3">
        <f t="shared" si="31"/>
        <v>4.1033689204375028</v>
      </c>
      <c r="BQ17" s="3">
        <f t="shared" si="32"/>
        <v>14.497265355466633</v>
      </c>
      <c r="BR17" s="3" t="e">
        <f t="shared" si="33"/>
        <v>#N/A</v>
      </c>
      <c r="BS17" s="3" t="e">
        <f t="shared" si="34"/>
        <v>#N/A</v>
      </c>
      <c r="BT17" s="7" t="e">
        <f t="shared" si="35"/>
        <v>#N/A</v>
      </c>
    </row>
    <row r="18" spans="1:72" x14ac:dyDescent="0.2">
      <c r="A18" s="150" t="s">
        <v>20</v>
      </c>
      <c r="B18" s="192">
        <f>INT(Calcs!B37) + MOD(Calcs!B37,1)*60/100</f>
        <v>12.279294009550934</v>
      </c>
      <c r="C18" s="151" t="s">
        <v>141</v>
      </c>
      <c r="V18" s="24">
        <v>14</v>
      </c>
      <c r="W18" s="51" t="s">
        <v>230</v>
      </c>
      <c r="X18" s="52" t="s">
        <v>115</v>
      </c>
      <c r="Y18" s="51">
        <v>2</v>
      </c>
      <c r="Z18" s="52" t="s">
        <v>118</v>
      </c>
      <c r="AA18" s="207">
        <v>20.05</v>
      </c>
      <c r="AB18" s="207">
        <v>32.380000000000003</v>
      </c>
      <c r="AC18" s="99">
        <v>0.21833333333333335</v>
      </c>
      <c r="AD18" s="53">
        <v>4</v>
      </c>
      <c r="AE18" s="18" t="e">
        <f t="shared" si="0"/>
        <v>#N/A</v>
      </c>
      <c r="AF18" s="96" t="e">
        <f t="shared" si="8"/>
        <v>#N/A</v>
      </c>
      <c r="AG18" s="18" t="e">
        <f t="shared" si="9"/>
        <v>#N/A</v>
      </c>
      <c r="AH18" s="18" t="e">
        <f>IF(OR($AE$4&lt;0,AE18&lt;0),NA(),  Calcs!$B$62*10^(-0.4*Calcs!$B$63*_xlfn.SEC(RADIANS(90-$AE$4)))  *  (1 - 10^(-0.4*Calcs!$B$63*_xlfn.SEC(RADIANS(90-AE18))))  *  (  10^5.36 * (1.06+ (COS(RADIANS(AG18))^2)) + 10^(6.15 - AG18/40) )  )</f>
        <v>#N/A</v>
      </c>
      <c r="AI18" s="220" t="e">
        <f t="shared" si="10"/>
        <v>#N/A</v>
      </c>
      <c r="AK18" s="238"/>
      <c r="AL18" s="46" t="e">
        <f t="shared" si="36"/>
        <v>#N/A</v>
      </c>
      <c r="AM18" s="220" t="e">
        <f t="shared" si="11"/>
        <v>#N/A</v>
      </c>
      <c r="AN18" s="68" t="e">
        <f t="shared" si="1"/>
        <v>#N/A</v>
      </c>
      <c r="AO18" s="64" t="e">
        <f t="shared" si="2"/>
        <v>#N/A</v>
      </c>
      <c r="AP18" s="65" t="e">
        <f t="shared" si="3"/>
        <v>#N/A</v>
      </c>
      <c r="AQ18" s="64" t="e">
        <f t="shared" si="4"/>
        <v>#N/A</v>
      </c>
      <c r="AR18" s="64" t="e">
        <f t="shared" si="5"/>
        <v>#N/A</v>
      </c>
      <c r="AS18" s="35" t="e">
        <f t="shared" si="6"/>
        <v>#N/A</v>
      </c>
      <c r="AT18" s="35" t="e">
        <f t="shared" si="7"/>
        <v>#N/A</v>
      </c>
      <c r="AU18" s="35" t="e">
        <f t="shared" si="12"/>
        <v>#N/A</v>
      </c>
      <c r="AV18" s="65">
        <f t="shared" si="13"/>
        <v>20.083333333333336</v>
      </c>
      <c r="AW18" s="212">
        <f t="shared" si="14"/>
        <v>32.63333333333334</v>
      </c>
      <c r="AY18" s="29">
        <f t="shared" si="37"/>
        <v>5.5</v>
      </c>
      <c r="AZ18" s="3">
        <f t="shared" si="15"/>
        <v>-62.518059504067331</v>
      </c>
      <c r="BA18" s="3" t="e">
        <f t="shared" si="16"/>
        <v>#N/A</v>
      </c>
      <c r="BB18" s="3">
        <f t="shared" si="17"/>
        <v>-1.5516313888656372</v>
      </c>
      <c r="BC18" s="3">
        <f t="shared" si="18"/>
        <v>11.469424203413862</v>
      </c>
      <c r="BD18" s="3">
        <f t="shared" si="19"/>
        <v>18.486130332359121</v>
      </c>
      <c r="BE18" s="3">
        <f t="shared" si="20"/>
        <v>21.210562818895465</v>
      </c>
      <c r="BF18" s="3" t="e">
        <f t="shared" si="21"/>
        <v>#N/A</v>
      </c>
      <c r="BG18" s="3" t="e">
        <f t="shared" si="22"/>
        <v>#N/A</v>
      </c>
      <c r="BH18" s="3" t="e">
        <f t="shared" si="23"/>
        <v>#N/A</v>
      </c>
      <c r="BI18" s="3">
        <f t="shared" si="24"/>
        <v>21.398087672333755</v>
      </c>
      <c r="BJ18" s="3">
        <f t="shared" si="25"/>
        <v>47.823993118638455</v>
      </c>
      <c r="BK18" s="3">
        <f t="shared" si="26"/>
        <v>55.292456396386889</v>
      </c>
      <c r="BL18" s="3">
        <f t="shared" si="27"/>
        <v>53.004569045698759</v>
      </c>
      <c r="BM18" s="3">
        <f t="shared" si="28"/>
        <v>35.888927951290142</v>
      </c>
      <c r="BN18" s="3" t="e">
        <f t="shared" si="29"/>
        <v>#N/A</v>
      </c>
      <c r="BO18" s="3">
        <f t="shared" si="30"/>
        <v>-8.6763884496002195</v>
      </c>
      <c r="BP18" s="3">
        <f t="shared" si="31"/>
        <v>2.3286860194115788</v>
      </c>
      <c r="BQ18" s="3">
        <f t="shared" si="32"/>
        <v>12.119719852993191</v>
      </c>
      <c r="BR18" s="3" t="e">
        <f t="shared" si="33"/>
        <v>#N/A</v>
      </c>
      <c r="BS18" s="3" t="e">
        <f t="shared" si="34"/>
        <v>#N/A</v>
      </c>
      <c r="BT18" s="7" t="e">
        <f t="shared" si="35"/>
        <v>#N/A</v>
      </c>
    </row>
    <row r="19" spans="1:72" x14ac:dyDescent="0.2">
      <c r="A19" s="150" t="s">
        <v>21</v>
      </c>
      <c r="B19" s="192">
        <f>INT(Calcs!B38) + MOD(Calcs!B38,1)*60/100</f>
        <v>12.564554208170028</v>
      </c>
      <c r="C19" s="151" t="s">
        <v>141</v>
      </c>
      <c r="V19" s="24">
        <v>15</v>
      </c>
      <c r="W19" s="51" t="s">
        <v>231</v>
      </c>
      <c r="X19" s="52" t="s">
        <v>115</v>
      </c>
      <c r="Y19" s="51">
        <v>2</v>
      </c>
      <c r="Z19" s="52"/>
      <c r="AA19" s="207">
        <v>20.3</v>
      </c>
      <c r="AB19" s="207">
        <v>48.36</v>
      </c>
      <c r="AC19" s="99">
        <v>0.11000000000000001</v>
      </c>
      <c r="AD19" s="53">
        <v>4.3</v>
      </c>
      <c r="AE19" s="18">
        <f t="shared" si="0"/>
        <v>9.6337010164595753</v>
      </c>
      <c r="AF19" s="96">
        <f t="shared" si="8"/>
        <v>11.877171279086326</v>
      </c>
      <c r="AG19" s="18" t="e">
        <f t="shared" si="9"/>
        <v>#N/A</v>
      </c>
      <c r="AH19" s="18" t="e">
        <f>IF(OR($AE$4&lt;0,AE19&lt;0),NA(),  Calcs!$B$62*10^(-0.4*Calcs!$B$63*_xlfn.SEC(RADIANS(90-$AE$4)))  *  (1 - 10^(-0.4*Calcs!$B$63*_xlfn.SEC(RADIANS(90-AE19))))  *  (  10^5.36 * (1.06+ (COS(RADIANS(AG19))^2)) + 10^(6.15 - AG19/40) )  )</f>
        <v>#N/A</v>
      </c>
      <c r="AI19" s="220" t="e">
        <f t="shared" si="10"/>
        <v>#N/A</v>
      </c>
      <c r="AK19" s="238"/>
      <c r="AL19" s="46" t="e">
        <f t="shared" si="36"/>
        <v>#N/A</v>
      </c>
      <c r="AM19" s="220" t="e">
        <f t="shared" si="11"/>
        <v>#N/A</v>
      </c>
      <c r="AN19" s="68">
        <f t="shared" si="1"/>
        <v>-7.6871712790863267</v>
      </c>
      <c r="AO19" s="64">
        <f t="shared" si="2"/>
        <v>37.329269725185043</v>
      </c>
      <c r="AP19" s="65">
        <f t="shared" si="3"/>
        <v>17.353837945752993</v>
      </c>
      <c r="AQ19" s="64">
        <f t="shared" si="4"/>
        <v>74.099999999999994</v>
      </c>
      <c r="AR19" s="64">
        <f t="shared" si="5"/>
        <v>-50.50043290567384</v>
      </c>
      <c r="AS19" s="35">
        <f t="shared" si="6"/>
        <v>-0.54148552287779683</v>
      </c>
      <c r="AT19" s="35">
        <f t="shared" si="7"/>
        <v>0.71004857973894364</v>
      </c>
      <c r="AU19" s="35" t="e">
        <f t="shared" si="12"/>
        <v>#N/A</v>
      </c>
      <c r="AV19" s="65">
        <f t="shared" si="13"/>
        <v>20.5</v>
      </c>
      <c r="AW19" s="212">
        <f t="shared" si="14"/>
        <v>48.6</v>
      </c>
      <c r="AY19" s="29">
        <f t="shared" si="37"/>
        <v>6</v>
      </c>
      <c r="AZ19" s="3">
        <f t="shared" si="15"/>
        <v>-67.094051739215317</v>
      </c>
      <c r="BA19" s="3" t="e">
        <f t="shared" si="16"/>
        <v>#N/A</v>
      </c>
      <c r="BB19" s="3">
        <f t="shared" si="17"/>
        <v>-1.7107624867934457</v>
      </c>
      <c r="BC19" s="3">
        <f t="shared" si="18"/>
        <v>7.9531190149753606</v>
      </c>
      <c r="BD19" s="3">
        <f t="shared" si="19"/>
        <v>15.619031034654531</v>
      </c>
      <c r="BE19" s="3">
        <f t="shared" si="20"/>
        <v>18.218009309338925</v>
      </c>
      <c r="BF19" s="3" t="e">
        <f t="shared" si="21"/>
        <v>#N/A</v>
      </c>
      <c r="BG19" s="3" t="e">
        <f t="shared" si="22"/>
        <v>#N/A</v>
      </c>
      <c r="BH19" s="3" t="e">
        <f t="shared" si="23"/>
        <v>#N/A</v>
      </c>
      <c r="BI19" s="3">
        <f t="shared" si="24"/>
        <v>15.207045753827861</v>
      </c>
      <c r="BJ19" s="3">
        <f t="shared" si="25"/>
        <v>41.885490133895701</v>
      </c>
      <c r="BK19" s="3">
        <f t="shared" si="26"/>
        <v>51.189277765869122</v>
      </c>
      <c r="BL19" s="3">
        <f t="shared" si="27"/>
        <v>50.805744901891259</v>
      </c>
      <c r="BM19" s="3">
        <f t="shared" si="28"/>
        <v>36.693894341000671</v>
      </c>
      <c r="BN19" s="3" t="e">
        <f t="shared" si="29"/>
        <v>#N/A</v>
      </c>
      <c r="BO19" s="3">
        <f t="shared" si="30"/>
        <v>-8.2398422229740138</v>
      </c>
      <c r="BP19" s="3">
        <f t="shared" si="31"/>
        <v>0.95927086269991102</v>
      </c>
      <c r="BQ19" s="3">
        <f t="shared" si="32"/>
        <v>10.028796756762011</v>
      </c>
      <c r="BR19" s="3" t="e">
        <f t="shared" si="33"/>
        <v>#N/A</v>
      </c>
      <c r="BS19" s="3" t="e">
        <f t="shared" si="34"/>
        <v>#N/A</v>
      </c>
      <c r="BT19" s="7" t="e">
        <f t="shared" si="35"/>
        <v>#N/A</v>
      </c>
    </row>
    <row r="20" spans="1:72" x14ac:dyDescent="0.2">
      <c r="A20" s="150" t="s">
        <v>19</v>
      </c>
      <c r="B20" s="192">
        <f>INT(Calcs!B39) + MOD(Calcs!B39,1)*60/100</f>
        <v>13.497144726262949</v>
      </c>
      <c r="C20" s="151" t="s">
        <v>141</v>
      </c>
      <c r="K20" s="1"/>
      <c r="V20" s="24">
        <v>16</v>
      </c>
      <c r="W20" s="51" t="s">
        <v>232</v>
      </c>
      <c r="X20" s="52" t="s">
        <v>115</v>
      </c>
      <c r="Y20" s="51">
        <v>2</v>
      </c>
      <c r="Z20" s="52"/>
      <c r="AA20" s="207">
        <v>22.27</v>
      </c>
      <c r="AB20" s="207">
        <v>56.44</v>
      </c>
      <c r="AC20" s="99">
        <v>0.16</v>
      </c>
      <c r="AD20" s="53">
        <v>4.4000000000000004</v>
      </c>
      <c r="AE20" s="18">
        <f t="shared" si="0"/>
        <v>4.3382820783108471</v>
      </c>
      <c r="AF20" s="96">
        <f t="shared" si="8"/>
        <v>13.877171279086326</v>
      </c>
      <c r="AG20" s="18" t="e">
        <f t="shared" si="9"/>
        <v>#N/A</v>
      </c>
      <c r="AH20" s="18" t="e">
        <f>IF(OR($AE$4&lt;0,AE20&lt;0),NA(),  Calcs!$B$62*10^(-0.4*Calcs!$B$63*_xlfn.SEC(RADIANS(90-$AE$4)))  *  (1 - 10^(-0.4*Calcs!$B$63*_xlfn.SEC(RADIANS(90-AE20))))  *  (  10^5.36 * (1.06+ (COS(RADIANS(AG20))^2)) + 10^(6.15 - AG20/40) )  )</f>
        <v>#N/A</v>
      </c>
      <c r="AI20" s="220" t="e">
        <f t="shared" si="10"/>
        <v>#N/A</v>
      </c>
      <c r="AK20" s="238"/>
      <c r="AL20" s="46" t="e">
        <f t="shared" si="36"/>
        <v>#N/A</v>
      </c>
      <c r="AM20" s="220" t="e">
        <f t="shared" si="11"/>
        <v>#N/A</v>
      </c>
      <c r="AN20" s="68">
        <f t="shared" si="1"/>
        <v>-9.637171279086326</v>
      </c>
      <c r="AO20" s="64">
        <f t="shared" si="2"/>
        <v>18.602573963039578</v>
      </c>
      <c r="AP20" s="65">
        <f t="shared" si="3"/>
        <v>19.303837945752996</v>
      </c>
      <c r="AQ20" s="64">
        <f t="shared" si="4"/>
        <v>65.966666666666683</v>
      </c>
      <c r="AR20" s="64">
        <f t="shared" si="5"/>
        <v>-29.299928552341854</v>
      </c>
      <c r="AS20" s="35">
        <f t="shared" si="6"/>
        <v>-0.30362499589411462</v>
      </c>
      <c r="AT20" s="35">
        <f t="shared" si="7"/>
        <v>0.90206936296962636</v>
      </c>
      <c r="AU20" s="35" t="e">
        <f t="shared" si="12"/>
        <v>#N/A</v>
      </c>
      <c r="AV20" s="65">
        <f t="shared" si="13"/>
        <v>22.45</v>
      </c>
      <c r="AW20" s="212">
        <f t="shared" si="14"/>
        <v>56.733333333333327</v>
      </c>
      <c r="AY20" s="29">
        <f t="shared" si="37"/>
        <v>6.5</v>
      </c>
      <c r="AZ20" s="3">
        <f t="shared" si="15"/>
        <v>-70.328700754037143</v>
      </c>
      <c r="BA20" s="3" t="e">
        <f t="shared" si="16"/>
        <v>#N/A</v>
      </c>
      <c r="BB20" s="3">
        <f t="shared" si="17"/>
        <v>-1.4035360914783408</v>
      </c>
      <c r="BC20" s="3">
        <f t="shared" si="18"/>
        <v>4.7448599302979755</v>
      </c>
      <c r="BD20" s="3">
        <f t="shared" si="19"/>
        <v>12.996109469571813</v>
      </c>
      <c r="BE20" s="3">
        <f t="shared" si="20"/>
        <v>15.441312873148858</v>
      </c>
      <c r="BF20" s="3" t="e">
        <f t="shared" si="21"/>
        <v>#N/A</v>
      </c>
      <c r="BG20" s="3" t="e">
        <f t="shared" si="22"/>
        <v>#N/A</v>
      </c>
      <c r="BH20" s="3" t="e">
        <f t="shared" si="23"/>
        <v>#N/A</v>
      </c>
      <c r="BI20" s="3">
        <f t="shared" si="24"/>
        <v>8.9415626640699237</v>
      </c>
      <c r="BJ20" s="3">
        <f t="shared" si="25"/>
        <v>36.026983302392679</v>
      </c>
      <c r="BK20" s="3">
        <f t="shared" si="26"/>
        <v>46.346372467516971</v>
      </c>
      <c r="BL20" s="3">
        <f t="shared" si="27"/>
        <v>47.521328456831824</v>
      </c>
      <c r="BM20" s="3">
        <f t="shared" si="28"/>
        <v>36.540779699353031</v>
      </c>
      <c r="BN20" s="3" t="e">
        <f t="shared" si="29"/>
        <v>#N/A</v>
      </c>
      <c r="BO20" s="3">
        <f t="shared" si="30"/>
        <v>-7.2613175719833327</v>
      </c>
      <c r="BP20" s="3">
        <f t="shared" si="31"/>
        <v>1.6826242349746796E-2</v>
      </c>
      <c r="BQ20" s="3">
        <f t="shared" si="32"/>
        <v>8.2510444270375523</v>
      </c>
      <c r="BR20" s="3" t="e">
        <f t="shared" si="33"/>
        <v>#N/A</v>
      </c>
      <c r="BS20" s="3" t="e">
        <f t="shared" si="34"/>
        <v>#N/A</v>
      </c>
      <c r="BT20" s="7" t="e">
        <f t="shared" si="35"/>
        <v>#N/A</v>
      </c>
    </row>
    <row r="21" spans="1:72" x14ac:dyDescent="0.2">
      <c r="A21" s="150"/>
      <c r="B21" s="191"/>
      <c r="C21" s="151"/>
      <c r="K21" s="1"/>
      <c r="V21" s="24">
        <v>17</v>
      </c>
      <c r="W21" s="51" t="s">
        <v>233</v>
      </c>
      <c r="X21" s="52" t="s">
        <v>115</v>
      </c>
      <c r="Y21" s="51">
        <v>1</v>
      </c>
      <c r="Z21" s="52"/>
      <c r="AA21" s="207">
        <v>23.49</v>
      </c>
      <c r="AB21" s="207">
        <v>61.58</v>
      </c>
      <c r="AC21" s="99">
        <v>0.05</v>
      </c>
      <c r="AD21" s="53">
        <v>4.3</v>
      </c>
      <c r="AE21" s="18">
        <f t="shared" si="0"/>
        <v>5.4359105194588855</v>
      </c>
      <c r="AF21" s="96">
        <f t="shared" si="8"/>
        <v>15.253837945752988</v>
      </c>
      <c r="AG21" s="18" t="e">
        <f t="shared" si="9"/>
        <v>#N/A</v>
      </c>
      <c r="AH21" s="18" t="e">
        <f>IF(OR($AE$4&lt;0,AE21&lt;0),NA(),  Calcs!$B$62*10^(-0.4*Calcs!$B$63*_xlfn.SEC(RADIANS(90-$AE$4)))  *  (1 - 10^(-0.4*Calcs!$B$63*_xlfn.SEC(RADIANS(90-AE21))))  *  (  10^5.36 * (1.06+ (COS(RADIANS(AG21))^2)) + 10^(6.15 - AG21/40) )  )</f>
        <v>#N/A</v>
      </c>
      <c r="AI21" s="220" t="e">
        <f t="shared" si="10"/>
        <v>#N/A</v>
      </c>
      <c r="AK21" s="238"/>
      <c r="AL21" s="46" t="e">
        <f t="shared" si="36"/>
        <v>#N/A</v>
      </c>
      <c r="AM21" s="220" t="e">
        <f t="shared" si="11"/>
        <v>#N/A</v>
      </c>
      <c r="AN21" s="68">
        <f t="shared" si="1"/>
        <v>-11.00383794575299</v>
      </c>
      <c r="AO21" s="64">
        <f t="shared" si="2"/>
        <v>6.9920930615213006</v>
      </c>
      <c r="AP21" s="65">
        <f t="shared" si="3"/>
        <v>20.670504612419656</v>
      </c>
      <c r="AQ21" s="64">
        <f t="shared" si="4"/>
        <v>60.733333333333341</v>
      </c>
      <c r="AR21" s="64">
        <f t="shared" si="5"/>
        <v>-12.589383962654823</v>
      </c>
      <c r="AS21" s="35">
        <f t="shared" si="6"/>
        <v>-0.1143798547370468</v>
      </c>
      <c r="AT21" s="35">
        <f t="shared" si="7"/>
        <v>0.93261314444147692</v>
      </c>
      <c r="AU21" s="35" t="e">
        <f t="shared" si="12"/>
        <v>#N/A</v>
      </c>
      <c r="AV21" s="65">
        <f t="shared" si="13"/>
        <v>23.816666666666663</v>
      </c>
      <c r="AW21" s="212">
        <f t="shared" si="14"/>
        <v>61.966666666666661</v>
      </c>
      <c r="AY21" s="29">
        <f t="shared" si="37"/>
        <v>7</v>
      </c>
      <c r="AZ21" s="3">
        <f t="shared" si="15"/>
        <v>-71.493655838546616</v>
      </c>
      <c r="BA21" s="3" t="e">
        <f t="shared" si="16"/>
        <v>#N/A</v>
      </c>
      <c r="BB21" s="3">
        <f t="shared" si="17"/>
        <v>-0.6353718198513022</v>
      </c>
      <c r="BC21" s="3">
        <f t="shared" si="18"/>
        <v>1.8833705439080775</v>
      </c>
      <c r="BD21" s="3">
        <f t="shared" si="19"/>
        <v>10.647694660795652</v>
      </c>
      <c r="BE21" s="3">
        <f t="shared" si="20"/>
        <v>12.911348015947102</v>
      </c>
      <c r="BF21" s="3" t="e">
        <f t="shared" si="21"/>
        <v>#N/A</v>
      </c>
      <c r="BG21" s="3" t="e">
        <f t="shared" si="22"/>
        <v>#N/A</v>
      </c>
      <c r="BH21" s="3" t="e">
        <f t="shared" si="23"/>
        <v>#N/A</v>
      </c>
      <c r="BI21" s="3">
        <f t="shared" si="24"/>
        <v>2.6383705688819354</v>
      </c>
      <c r="BJ21" s="3">
        <f t="shared" si="25"/>
        <v>30.265799300909247</v>
      </c>
      <c r="BK21" s="3">
        <f t="shared" si="26"/>
        <v>40.990826987145056</v>
      </c>
      <c r="BL21" s="3">
        <f t="shared" si="27"/>
        <v>43.38423228455067</v>
      </c>
      <c r="BM21" s="3">
        <f t="shared" si="28"/>
        <v>35.437723075965764</v>
      </c>
      <c r="BN21" s="3" t="e">
        <f t="shared" si="29"/>
        <v>#N/A</v>
      </c>
      <c r="BO21" s="3">
        <f t="shared" si="30"/>
        <v>-5.7608364461806474</v>
      </c>
      <c r="BP21" s="3">
        <f t="shared" si="31"/>
        <v>-0.48303546055476893</v>
      </c>
      <c r="BQ21" s="3">
        <f t="shared" si="32"/>
        <v>6.8102636757703108</v>
      </c>
      <c r="BR21" s="3" t="e">
        <f t="shared" si="33"/>
        <v>#N/A</v>
      </c>
      <c r="BS21" s="3" t="e">
        <f t="shared" si="34"/>
        <v>#N/A</v>
      </c>
      <c r="BT21" s="7" t="e">
        <f t="shared" si="35"/>
        <v>#N/A</v>
      </c>
    </row>
    <row r="22" spans="1:72" x14ac:dyDescent="0.2">
      <c r="A22" s="150" t="s">
        <v>83</v>
      </c>
      <c r="B22" s="190">
        <f>Calcs!B58</f>
        <v>9.9900605666627076</v>
      </c>
      <c r="C22" s="151" t="s">
        <v>4</v>
      </c>
      <c r="K22" s="1"/>
      <c r="V22" s="24">
        <v>18</v>
      </c>
      <c r="W22" s="51"/>
      <c r="X22" s="52"/>
      <c r="Y22" s="51"/>
      <c r="Z22" s="52"/>
      <c r="AA22" s="207"/>
      <c r="AB22" s="207"/>
      <c r="AC22" s="99"/>
      <c r="AD22" s="53"/>
      <c r="AE22" s="18" t="e">
        <f t="shared" si="0"/>
        <v>#N/A</v>
      </c>
      <c r="AF22" s="96" t="e">
        <f t="shared" si="8"/>
        <v>#N/A</v>
      </c>
      <c r="AG22" s="18" t="e">
        <f t="shared" si="9"/>
        <v>#N/A</v>
      </c>
      <c r="AH22" s="18" t="e">
        <f>IF(OR($AE$4&lt;0,AE22&lt;0),NA(),  Calcs!$B$62*10^(-0.4*Calcs!$B$63*_xlfn.SEC(RADIANS(90-$AE$4)))  *  (1 - 10^(-0.4*Calcs!$B$63*_xlfn.SEC(RADIANS(90-AE22))))  *  (  10^5.36 * (1.06+ (COS(RADIANS(AG22))^2)) + 10^(6.15 - AG22/40) )  )</f>
        <v>#N/A</v>
      </c>
      <c r="AI22" s="220" t="e">
        <f t="shared" si="10"/>
        <v>#N/A</v>
      </c>
      <c r="AK22" s="238"/>
      <c r="AL22" s="46" t="e">
        <f t="shared" si="36"/>
        <v>#N/A</v>
      </c>
      <c r="AM22" s="220" t="e">
        <f t="shared" si="11"/>
        <v>#N/A</v>
      </c>
      <c r="AN22" s="68" t="e">
        <f t="shared" si="1"/>
        <v>#N/A</v>
      </c>
      <c r="AO22" s="64" t="e">
        <f t="shared" si="2"/>
        <v>#N/A</v>
      </c>
      <c r="AP22" s="65" t="e">
        <f t="shared" si="3"/>
        <v>#N/A</v>
      </c>
      <c r="AQ22" s="64" t="e">
        <f t="shared" si="4"/>
        <v>#N/A</v>
      </c>
      <c r="AR22" s="64" t="e">
        <f t="shared" si="5"/>
        <v>#N/A</v>
      </c>
      <c r="AS22" s="35" t="e">
        <f t="shared" si="6"/>
        <v>#N/A</v>
      </c>
      <c r="AT22" s="35" t="e">
        <f t="shared" si="7"/>
        <v>#N/A</v>
      </c>
      <c r="AU22" s="35" t="e">
        <f t="shared" si="12"/>
        <v>#N/A</v>
      </c>
      <c r="AV22" s="65" t="e">
        <f t="shared" si="13"/>
        <v>#N/A</v>
      </c>
      <c r="AW22" s="212" t="e">
        <f t="shared" si="14"/>
        <v>#N/A</v>
      </c>
      <c r="AY22" s="29">
        <f t="shared" si="37"/>
        <v>7.5</v>
      </c>
      <c r="AZ22" s="3">
        <f t="shared" si="15"/>
        <v>-70.216608924255567</v>
      </c>
      <c r="BA22" s="3" t="e">
        <f t="shared" si="16"/>
        <v>#N/A</v>
      </c>
      <c r="BB22" s="3">
        <f t="shared" si="17"/>
        <v>0.58047108945499704</v>
      </c>
      <c r="BC22" s="3">
        <f t="shared" si="18"/>
        <v>-0.5927536588992276</v>
      </c>
      <c r="BD22" s="3">
        <f t="shared" si="19"/>
        <v>8.6025857899309948</v>
      </c>
      <c r="BE22" s="3">
        <f t="shared" si="20"/>
        <v>10.657742778540436</v>
      </c>
      <c r="BF22" s="3" t="e">
        <f t="shared" si="21"/>
        <v>#N/A</v>
      </c>
      <c r="BG22" s="3" t="e">
        <f t="shared" si="22"/>
        <v>#N/A</v>
      </c>
      <c r="BH22" s="3" t="e">
        <f t="shared" si="23"/>
        <v>#N/A</v>
      </c>
      <c r="BI22" s="3">
        <f t="shared" si="24"/>
        <v>-3.6697524990908996</v>
      </c>
      <c r="BJ22" s="3">
        <f t="shared" si="25"/>
        <v>24.621493450722511</v>
      </c>
      <c r="BK22" s="3">
        <f t="shared" si="26"/>
        <v>35.282862333309026</v>
      </c>
      <c r="BL22" s="3">
        <f t="shared" si="27"/>
        <v>38.605206679684585</v>
      </c>
      <c r="BM22" s="3">
        <f t="shared" si="28"/>
        <v>33.440798727373178</v>
      </c>
      <c r="BN22" s="3" t="e">
        <f t="shared" si="29"/>
        <v>#N/A</v>
      </c>
      <c r="BO22" s="3">
        <f t="shared" si="30"/>
        <v>-3.7674092971079229</v>
      </c>
      <c r="BP22" s="3">
        <f t="shared" si="31"/>
        <v>-0.53179685551485745</v>
      </c>
      <c r="BQ22" s="3">
        <f t="shared" si="32"/>
        <v>5.7266860213194768</v>
      </c>
      <c r="BR22" s="3" t="e">
        <f t="shared" si="33"/>
        <v>#N/A</v>
      </c>
      <c r="BS22" s="3" t="e">
        <f t="shared" si="34"/>
        <v>#N/A</v>
      </c>
      <c r="BT22" s="7" t="e">
        <f t="shared" si="35"/>
        <v>#N/A</v>
      </c>
    </row>
    <row r="23" spans="1:72" ht="17" thickBot="1" x14ac:dyDescent="0.25">
      <c r="A23" s="193" t="s">
        <v>202</v>
      </c>
      <c r="B23" s="43">
        <f>Calcs!B59</f>
        <v>7.5810690216125409E-3</v>
      </c>
      <c r="C23" s="194" t="s">
        <v>17</v>
      </c>
      <c r="K23" s="1"/>
      <c r="V23" s="24">
        <v>19</v>
      </c>
      <c r="W23" s="51"/>
      <c r="X23" s="52"/>
      <c r="Y23" s="51"/>
      <c r="Z23" s="52"/>
      <c r="AA23" s="207"/>
      <c r="AB23" s="207"/>
      <c r="AC23" s="99"/>
      <c r="AD23" s="53"/>
      <c r="AE23" s="18" t="e">
        <f t="shared" si="0"/>
        <v>#N/A</v>
      </c>
      <c r="AF23" s="96" t="e">
        <f t="shared" si="8"/>
        <v>#N/A</v>
      </c>
      <c r="AG23" s="18" t="e">
        <f t="shared" si="9"/>
        <v>#N/A</v>
      </c>
      <c r="AH23" s="18" t="e">
        <f>IF(OR($AE$4&lt;0,AE23&lt;0),NA(),  Calcs!$B$62*10^(-0.4*Calcs!$B$63*_xlfn.SEC(RADIANS(90-$AE$4)))  *  (1 - 10^(-0.4*Calcs!$B$63*_xlfn.SEC(RADIANS(90-AE23))))  *  (  10^5.36 * (1.06+ (COS(RADIANS(AG23))^2)) + 10^(6.15 - AG23/40) )  )</f>
        <v>#N/A</v>
      </c>
      <c r="AI23" s="220" t="e">
        <f t="shared" si="10"/>
        <v>#N/A</v>
      </c>
      <c r="AK23" s="238"/>
      <c r="AL23" s="46" t="e">
        <f t="shared" si="36"/>
        <v>#N/A</v>
      </c>
      <c r="AM23" s="220" t="e">
        <f t="shared" si="11"/>
        <v>#N/A</v>
      </c>
      <c r="AN23" s="68" t="e">
        <f t="shared" si="1"/>
        <v>#N/A</v>
      </c>
      <c r="AO23" s="64" t="e">
        <f t="shared" si="2"/>
        <v>#N/A</v>
      </c>
      <c r="AP23" s="65" t="e">
        <f t="shared" si="3"/>
        <v>#N/A</v>
      </c>
      <c r="AQ23" s="64" t="e">
        <f t="shared" si="4"/>
        <v>#N/A</v>
      </c>
      <c r="AR23" s="64" t="e">
        <f t="shared" si="5"/>
        <v>#N/A</v>
      </c>
      <c r="AS23" s="35" t="e">
        <f t="shared" si="6"/>
        <v>#N/A</v>
      </c>
      <c r="AT23" s="35" t="e">
        <f t="shared" si="7"/>
        <v>#N/A</v>
      </c>
      <c r="AU23" s="35" t="e">
        <f t="shared" si="12"/>
        <v>#N/A</v>
      </c>
      <c r="AV23" s="65" t="e">
        <f t="shared" si="13"/>
        <v>#N/A</v>
      </c>
      <c r="AW23" s="212" t="e">
        <f t="shared" si="14"/>
        <v>#N/A</v>
      </c>
      <c r="AY23" s="29">
        <f t="shared" si="37"/>
        <v>8</v>
      </c>
      <c r="AZ23" s="3">
        <f t="shared" si="15"/>
        <v>-66.902056263995831</v>
      </c>
      <c r="BA23" s="3" t="e">
        <f t="shared" si="16"/>
        <v>#N/A</v>
      </c>
      <c r="BB23" s="3">
        <f t="shared" si="17"/>
        <v>2.2238194316455404</v>
      </c>
      <c r="BC23" s="3">
        <f t="shared" si="18"/>
        <v>-2.6464648221037139</v>
      </c>
      <c r="BD23" s="3">
        <f t="shared" si="19"/>
        <v>6.8873910466101247</v>
      </c>
      <c r="BE23" s="3">
        <f t="shared" si="20"/>
        <v>8.7084172315688502</v>
      </c>
      <c r="BF23" s="3" t="e">
        <f t="shared" si="21"/>
        <v>#N/A</v>
      </c>
      <c r="BG23" s="3" t="e">
        <f t="shared" si="22"/>
        <v>#N/A</v>
      </c>
      <c r="BH23" s="3" t="e">
        <f t="shared" si="23"/>
        <v>#N/A</v>
      </c>
      <c r="BI23" s="3">
        <f t="shared" si="24"/>
        <v>-9.950808237938368</v>
      </c>
      <c r="BJ23" s="3">
        <f t="shared" si="25"/>
        <v>19.116530925186932</v>
      </c>
      <c r="BK23" s="3">
        <f t="shared" si="26"/>
        <v>29.333490617766479</v>
      </c>
      <c r="BL23" s="3">
        <f t="shared" si="27"/>
        <v>33.352942528055706</v>
      </c>
      <c r="BM23" s="3">
        <f t="shared" si="28"/>
        <v>30.641093541102304</v>
      </c>
      <c r="BN23" s="3" t="e">
        <f t="shared" si="29"/>
        <v>#N/A</v>
      </c>
      <c r="BO23" s="3">
        <f t="shared" si="30"/>
        <v>-1.3166803177741804</v>
      </c>
      <c r="BP23" s="3">
        <f t="shared" si="31"/>
        <v>-0.12861802162363586</v>
      </c>
      <c r="BQ23" s="3">
        <f t="shared" si="32"/>
        <v>5.0161405669074295</v>
      </c>
      <c r="BR23" s="3" t="e">
        <f t="shared" si="33"/>
        <v>#N/A</v>
      </c>
      <c r="BS23" s="3" t="e">
        <f t="shared" si="34"/>
        <v>#N/A</v>
      </c>
      <c r="BT23" s="7" t="e">
        <f t="shared" si="35"/>
        <v>#N/A</v>
      </c>
    </row>
    <row r="24" spans="1:72" ht="17" thickBot="1" x14ac:dyDescent="0.25">
      <c r="V24" s="26">
        <v>20</v>
      </c>
      <c r="W24" s="144"/>
      <c r="X24" s="145"/>
      <c r="Y24" s="144"/>
      <c r="Z24" s="145"/>
      <c r="AA24" s="214"/>
      <c r="AB24" s="214"/>
      <c r="AC24" s="147"/>
      <c r="AD24" s="146"/>
      <c r="AE24" s="148" t="e">
        <f t="shared" si="0"/>
        <v>#N/A</v>
      </c>
      <c r="AF24" s="149" t="e">
        <f t="shared" si="8"/>
        <v>#N/A</v>
      </c>
      <c r="AG24" s="148" t="e">
        <f t="shared" si="9"/>
        <v>#N/A</v>
      </c>
      <c r="AH24" s="148" t="e">
        <f>IF(OR($AE$4&lt;0,AE24&lt;0),NA(),  Calcs!$B$62*10^(-0.4*Calcs!$B$63*_xlfn.SEC(RADIANS(90-$AE$4)))  *  (1 - 10^(-0.4*Calcs!$B$63*_xlfn.SEC(RADIANS(90-AE24))))  *  (  10^5.36 * (1.06+ (COS(RADIANS(AG24))^2)) + 10^(6.15 - AG24/40) )  )</f>
        <v>#N/A</v>
      </c>
      <c r="AI24" s="221" t="e">
        <f t="shared" si="10"/>
        <v>#N/A</v>
      </c>
      <c r="AK24" s="239"/>
      <c r="AL24" s="199" t="e">
        <f t="shared" si="36"/>
        <v>#N/A</v>
      </c>
      <c r="AM24" s="221" t="e">
        <f t="shared" si="11"/>
        <v>#N/A</v>
      </c>
      <c r="AN24" s="217" t="e">
        <f t="shared" si="1"/>
        <v>#N/A</v>
      </c>
      <c r="AO24" s="33" t="e">
        <f t="shared" si="2"/>
        <v>#N/A</v>
      </c>
      <c r="AP24" s="32" t="e">
        <f t="shared" si="3"/>
        <v>#N/A</v>
      </c>
      <c r="AQ24" s="33" t="e">
        <f t="shared" si="4"/>
        <v>#N/A</v>
      </c>
      <c r="AR24" s="33" t="e">
        <f t="shared" si="5"/>
        <v>#N/A</v>
      </c>
      <c r="AS24" s="48" t="e">
        <f t="shared" si="6"/>
        <v>#N/A</v>
      </c>
      <c r="AT24" s="48" t="e">
        <f t="shared" si="7"/>
        <v>#N/A</v>
      </c>
      <c r="AU24" s="48" t="e">
        <f t="shared" si="12"/>
        <v>#N/A</v>
      </c>
      <c r="AV24" s="32" t="e">
        <f t="shared" si="13"/>
        <v>#N/A</v>
      </c>
      <c r="AW24" s="213" t="e">
        <f t="shared" si="14"/>
        <v>#N/A</v>
      </c>
      <c r="AY24" s="29">
        <f t="shared" si="37"/>
        <v>8.5</v>
      </c>
      <c r="AZ24" s="3">
        <f t="shared" si="15"/>
        <v>-62.278637111804599</v>
      </c>
      <c r="BA24" s="3" t="e">
        <f t="shared" si="16"/>
        <v>#N/A</v>
      </c>
      <c r="BB24" s="3">
        <f t="shared" si="17"/>
        <v>4.2688807842298298</v>
      </c>
      <c r="BC24" s="3">
        <f t="shared" si="18"/>
        <v>-4.244067380718624</v>
      </c>
      <c r="BD24" s="3">
        <f t="shared" si="19"/>
        <v>5.5256993263018499</v>
      </c>
      <c r="BE24" s="3">
        <f t="shared" si="20"/>
        <v>7.0889161299187222</v>
      </c>
      <c r="BF24" s="3" t="e">
        <f t="shared" si="21"/>
        <v>#N/A</v>
      </c>
      <c r="BG24" s="3" t="e">
        <f t="shared" si="22"/>
        <v>#N/A</v>
      </c>
      <c r="BH24" s="3" t="e">
        <f t="shared" si="23"/>
        <v>#N/A</v>
      </c>
      <c r="BI24" s="3">
        <f t="shared" si="24"/>
        <v>-16.170570552293466</v>
      </c>
      <c r="BJ24" s="3">
        <f t="shared" si="25"/>
        <v>13.776979189379487</v>
      </c>
      <c r="BK24" s="3">
        <f t="shared" si="26"/>
        <v>23.220765920064757</v>
      </c>
      <c r="BL24" s="3">
        <f t="shared" si="27"/>
        <v>27.754833613231686</v>
      </c>
      <c r="BM24" s="3">
        <f t="shared" si="28"/>
        <v>27.147130239874386</v>
      </c>
      <c r="BN24" s="3" t="e">
        <f t="shared" si="29"/>
        <v>#N/A</v>
      </c>
      <c r="BO24" s="3">
        <f t="shared" si="30"/>
        <v>1.551558590075794</v>
      </c>
      <c r="BP24" s="3">
        <f t="shared" si="31"/>
        <v>0.71960472595651481</v>
      </c>
      <c r="BQ24" s="3">
        <f t="shared" si="32"/>
        <v>4.6893143099146632</v>
      </c>
      <c r="BR24" s="3" t="e">
        <f t="shared" si="33"/>
        <v>#N/A</v>
      </c>
      <c r="BS24" s="3" t="e">
        <f t="shared" si="34"/>
        <v>#N/A</v>
      </c>
      <c r="BT24" s="7" t="e">
        <f t="shared" si="35"/>
        <v>#N/A</v>
      </c>
    </row>
    <row r="25" spans="1:72" x14ac:dyDescent="0.2">
      <c r="AY25" s="29">
        <f>AY24+0.5</f>
        <v>9</v>
      </c>
      <c r="AZ25" s="3">
        <f t="shared" si="15"/>
        <v>-56.900681184640575</v>
      </c>
      <c r="BA25" s="3" t="e">
        <f t="shared" si="16"/>
        <v>#N/A</v>
      </c>
      <c r="BB25" s="3">
        <f t="shared" si="17"/>
        <v>6.6857029977708535</v>
      </c>
      <c r="BC25" s="3">
        <f t="shared" si="18"/>
        <v>-5.3572510256685284</v>
      </c>
      <c r="BD25" s="3">
        <f t="shared" si="19"/>
        <v>4.5371676545285471</v>
      </c>
      <c r="BE25" s="3">
        <f t="shared" si="20"/>
        <v>5.8215971999354501</v>
      </c>
      <c r="BF25" s="3" t="e">
        <f t="shared" si="21"/>
        <v>#N/A</v>
      </c>
      <c r="BG25" s="3" t="e">
        <f t="shared" si="22"/>
        <v>#N/A</v>
      </c>
      <c r="BH25" s="3" t="e">
        <f t="shared" si="23"/>
        <v>#N/A</v>
      </c>
      <c r="BI25" s="3">
        <f t="shared" si="24"/>
        <v>-22.28925725428018</v>
      </c>
      <c r="BJ25" s="3">
        <f t="shared" si="25"/>
        <v>8.6332306399296854</v>
      </c>
      <c r="BK25" s="3">
        <f t="shared" si="26"/>
        <v>17.001588248645724</v>
      </c>
      <c r="BL25" s="3">
        <f t="shared" si="27"/>
        <v>21.905235198247542</v>
      </c>
      <c r="BM25" s="3">
        <f t="shared" si="28"/>
        <v>23.069264880050895</v>
      </c>
      <c r="BN25" s="3" t="e">
        <f t="shared" si="29"/>
        <v>#N/A</v>
      </c>
      <c r="BO25" s="3">
        <f t="shared" si="30"/>
        <v>4.7956313676601336</v>
      </c>
      <c r="BP25" s="3">
        <f t="shared" si="31"/>
        <v>1.9987142920543601</v>
      </c>
      <c r="BQ25" s="3">
        <f t="shared" si="32"/>
        <v>4.7512084727568835</v>
      </c>
      <c r="BR25" s="3" t="e">
        <f t="shared" si="33"/>
        <v>#N/A</v>
      </c>
      <c r="BS25" s="3" t="e">
        <f t="shared" si="34"/>
        <v>#N/A</v>
      </c>
      <c r="BT25" s="7" t="e">
        <f t="shared" si="35"/>
        <v>#N/A</v>
      </c>
    </row>
    <row r="26" spans="1:72" x14ac:dyDescent="0.2">
      <c r="AY26" s="29">
        <f t="shared" si="37"/>
        <v>9.5</v>
      </c>
      <c r="AZ26" s="3">
        <f t="shared" si="15"/>
        <v>-51.092698537767014</v>
      </c>
      <c r="BA26" s="3" t="e">
        <f t="shared" si="16"/>
        <v>#N/A</v>
      </c>
      <c r="BB26" s="3">
        <f t="shared" si="17"/>
        <v>9.441599966129349</v>
      </c>
      <c r="BC26" s="3">
        <f t="shared" si="18"/>
        <v>-5.9650973606161539</v>
      </c>
      <c r="BD26" s="3">
        <f t="shared" si="19"/>
        <v>3.9366300801431211</v>
      </c>
      <c r="BE26" s="3">
        <f t="shared" si="20"/>
        <v>4.9247597052791283</v>
      </c>
      <c r="BF26" s="3" t="e">
        <f t="shared" si="21"/>
        <v>#N/A</v>
      </c>
      <c r="BG26" s="3" t="e">
        <f t="shared" si="22"/>
        <v>#N/A</v>
      </c>
      <c r="BH26" s="3" t="e">
        <f t="shared" si="23"/>
        <v>#N/A</v>
      </c>
      <c r="BI26" s="3">
        <f t="shared" si="24"/>
        <v>-28.257352946103307</v>
      </c>
      <c r="BJ26" s="3">
        <f t="shared" si="25"/>
        <v>3.7207334639705829</v>
      </c>
      <c r="BK26" s="3">
        <f t="shared" si="26"/>
        <v>10.719723808060177</v>
      </c>
      <c r="BL26" s="3">
        <f t="shared" si="27"/>
        <v>15.874414492484529</v>
      </c>
      <c r="BM26" s="3">
        <f t="shared" si="28"/>
        <v>18.509443419507072</v>
      </c>
      <c r="BN26" s="3" t="e">
        <f t="shared" si="29"/>
        <v>#N/A</v>
      </c>
      <c r="BO26" s="3">
        <f t="shared" si="30"/>
        <v>8.3737947824797789</v>
      </c>
      <c r="BP26" s="3">
        <f t="shared" si="31"/>
        <v>3.6882188013448127</v>
      </c>
      <c r="BQ26" s="3">
        <f t="shared" si="32"/>
        <v>5.2008716999437477</v>
      </c>
      <c r="BR26" s="3" t="e">
        <f t="shared" si="33"/>
        <v>#N/A</v>
      </c>
      <c r="BS26" s="3" t="e">
        <f t="shared" si="34"/>
        <v>#N/A</v>
      </c>
      <c r="BT26" s="7" t="e">
        <f t="shared" si="35"/>
        <v>#N/A</v>
      </c>
    </row>
    <row r="27" spans="1:72" x14ac:dyDescent="0.2">
      <c r="AP27" s="1"/>
      <c r="AY27" s="29">
        <f>AY26+0.5</f>
        <v>10</v>
      </c>
      <c r="AZ27" s="3">
        <f t="shared" si="15"/>
        <v>-45.03617572231542</v>
      </c>
      <c r="BA27" s="3" t="e">
        <f t="shared" si="16"/>
        <v>#N/A</v>
      </c>
      <c r="BB27" s="3">
        <f t="shared" si="17"/>
        <v>12.502386989145334</v>
      </c>
      <c r="BC27" s="3">
        <f t="shared" si="18"/>
        <v>-6.0557426110782178</v>
      </c>
      <c r="BD27" s="3">
        <f t="shared" si="19"/>
        <v>3.7333451453730833</v>
      </c>
      <c r="BE27" s="3">
        <f t="shared" si="20"/>
        <v>4.411817120115372</v>
      </c>
      <c r="BF27" s="3" t="e">
        <f t="shared" si="21"/>
        <v>#N/A</v>
      </c>
      <c r="BG27" s="3" t="e">
        <f t="shared" si="22"/>
        <v>#N/A</v>
      </c>
      <c r="BH27" s="3" t="e">
        <f t="shared" si="23"/>
        <v>#N/A</v>
      </c>
      <c r="BI27" s="3">
        <f t="shared" si="24"/>
        <v>-34.00995815764049</v>
      </c>
      <c r="BJ27" s="3">
        <f t="shared" si="25"/>
        <v>-0.91933802304243095</v>
      </c>
      <c r="BK27" s="3">
        <f t="shared" si="26"/>
        <v>4.4112835494730485</v>
      </c>
      <c r="BL27" s="3">
        <f t="shared" si="27"/>
        <v>9.7159562771729426</v>
      </c>
      <c r="BM27" s="3">
        <f t="shared" si="28"/>
        <v>13.556355786053862</v>
      </c>
      <c r="BN27" s="3" t="e">
        <f t="shared" si="29"/>
        <v>#N/A</v>
      </c>
      <c r="BO27" s="3">
        <f t="shared" si="30"/>
        <v>12.245518485562153</v>
      </c>
      <c r="BP27" s="3">
        <f t="shared" si="31"/>
        <v>5.7625142951359924</v>
      </c>
      <c r="BQ27" s="3">
        <f t="shared" si="32"/>
        <v>6.0314514213917194</v>
      </c>
      <c r="BR27" s="3" t="e">
        <f t="shared" si="33"/>
        <v>#N/A</v>
      </c>
      <c r="BS27" s="3" t="e">
        <f t="shared" si="34"/>
        <v>#N/A</v>
      </c>
      <c r="BT27" s="7" t="e">
        <f t="shared" si="35"/>
        <v>#N/A</v>
      </c>
    </row>
    <row r="28" spans="1:72" x14ac:dyDescent="0.2">
      <c r="AP28" s="1"/>
      <c r="AY28" s="29">
        <f t="shared" si="37"/>
        <v>10.5</v>
      </c>
      <c r="AZ28" s="3">
        <f t="shared" si="15"/>
        <v>-38.836731401420941</v>
      </c>
      <c r="BA28" s="3" t="e">
        <f t="shared" si="16"/>
        <v>#N/A</v>
      </c>
      <c r="BB28" s="3">
        <f t="shared" si="17"/>
        <v>15.833325240620029</v>
      </c>
      <c r="BC28" s="3">
        <f t="shared" si="18"/>
        <v>-5.6273898899469001</v>
      </c>
      <c r="BD28" s="3">
        <f t="shared" si="19"/>
        <v>3.9304908098158355</v>
      </c>
      <c r="BE28" s="3">
        <f t="shared" si="20"/>
        <v>4.2906243553918992</v>
      </c>
      <c r="BF28" s="3" t="e">
        <f t="shared" si="21"/>
        <v>#N/A</v>
      </c>
      <c r="BG28" s="3" t="e">
        <f t="shared" si="22"/>
        <v>#N/A</v>
      </c>
      <c r="BH28" s="3" t="e">
        <f t="shared" si="23"/>
        <v>#N/A</v>
      </c>
      <c r="BI28" s="3">
        <f t="shared" si="24"/>
        <v>-39.458982089007591</v>
      </c>
      <c r="BJ28" s="3">
        <f t="shared" si="25"/>
        <v>-5.2396052365696573</v>
      </c>
      <c r="BK28" s="3">
        <f t="shared" si="26"/>
        <v>-1.8913152661639951</v>
      </c>
      <c r="BL28" s="3">
        <f t="shared" si="27"/>
        <v>3.4723931838795448</v>
      </c>
      <c r="BM28" s="3">
        <f t="shared" si="28"/>
        <v>8.2844101713766438</v>
      </c>
      <c r="BN28" s="3" t="e">
        <f t="shared" si="29"/>
        <v>#N/A</v>
      </c>
      <c r="BO28" s="3">
        <f t="shared" si="30"/>
        <v>16.372236846377692</v>
      </c>
      <c r="BP28" s="3">
        <f t="shared" si="31"/>
        <v>8.192220629891759</v>
      </c>
      <c r="BQ28" s="3">
        <f t="shared" si="32"/>
        <v>7.2305553493741073</v>
      </c>
      <c r="BR28" s="3" t="e">
        <f t="shared" si="33"/>
        <v>#N/A</v>
      </c>
      <c r="BS28" s="3" t="e">
        <f t="shared" si="34"/>
        <v>#N/A</v>
      </c>
      <c r="BT28" s="7" t="e">
        <f t="shared" si="35"/>
        <v>#N/A</v>
      </c>
    </row>
    <row r="29" spans="1:72" x14ac:dyDescent="0.2">
      <c r="AP29" s="1"/>
      <c r="AY29" s="29">
        <f t="shared" si="37"/>
        <v>11</v>
      </c>
      <c r="AZ29" s="3">
        <f t="shared" si="15"/>
        <v>-32.560526477767652</v>
      </c>
      <c r="BA29" s="3" t="e">
        <f t="shared" si="16"/>
        <v>#N/A</v>
      </c>
      <c r="BB29" s="3">
        <f t="shared" si="17"/>
        <v>19.399725892307753</v>
      </c>
      <c r="BC29" s="3">
        <f t="shared" si="18"/>
        <v>-4.6884669316224103</v>
      </c>
      <c r="BD29" s="3">
        <f t="shared" si="19"/>
        <v>4.5249847599382989</v>
      </c>
      <c r="BE29" s="3">
        <f t="shared" si="20"/>
        <v>4.563057400801025</v>
      </c>
      <c r="BF29" s="3" t="e">
        <f t="shared" si="21"/>
        <v>#N/A</v>
      </c>
      <c r="BG29" s="3" t="e">
        <f t="shared" si="22"/>
        <v>#N/A</v>
      </c>
      <c r="BH29" s="3" t="e">
        <f t="shared" si="23"/>
        <v>#N/A</v>
      </c>
      <c r="BI29" s="3">
        <f t="shared" si="24"/>
        <v>-44.482799337249425</v>
      </c>
      <c r="BJ29" s="3">
        <f t="shared" si="25"/>
        <v>-9.1864127955440544</v>
      </c>
      <c r="BK29" s="3">
        <f t="shared" si="26"/>
        <v>-8.156161386074757</v>
      </c>
      <c r="BL29" s="3">
        <f t="shared" si="27"/>
        <v>-2.8205409941803588</v>
      </c>
      <c r="BM29" s="3">
        <f t="shared" si="28"/>
        <v>2.7548176160678102</v>
      </c>
      <c r="BN29" s="3" t="e">
        <f t="shared" si="29"/>
        <v>#N/A</v>
      </c>
      <c r="BO29" s="3">
        <f t="shared" si="30"/>
        <v>20.717632860979791</v>
      </c>
      <c r="BP29" s="3">
        <f t="shared" si="31"/>
        <v>10.945458176997986</v>
      </c>
      <c r="BQ29" s="3">
        <f t="shared" si="32"/>
        <v>8.7808676818223894</v>
      </c>
      <c r="BR29" s="3" t="e">
        <f t="shared" si="33"/>
        <v>#N/A</v>
      </c>
      <c r="BS29" s="3" t="e">
        <f t="shared" si="34"/>
        <v>#N/A</v>
      </c>
      <c r="BT29" s="7" t="e">
        <f t="shared" si="35"/>
        <v>#N/A</v>
      </c>
    </row>
    <row r="30" spans="1:72" x14ac:dyDescent="0.2">
      <c r="AP30" s="1"/>
      <c r="AQ30" s="64"/>
      <c r="AR30" s="1"/>
      <c r="AS30" s="1"/>
      <c r="AT30" s="1"/>
      <c r="AU30" s="1"/>
      <c r="AV30" s="1"/>
      <c r="AW30" s="1"/>
      <c r="AY30" s="29">
        <f t="shared" si="37"/>
        <v>11.5</v>
      </c>
      <c r="AZ30" s="3">
        <f t="shared" si="15"/>
        <v>-26.252976378463654</v>
      </c>
      <c r="BA30" s="3" t="e">
        <f t="shared" si="16"/>
        <v>#N/A</v>
      </c>
      <c r="BB30" s="3">
        <f t="shared" si="17"/>
        <v>23.167197961061394</v>
      </c>
      <c r="BC30" s="3">
        <f t="shared" si="18"/>
        <v>-3.256896359198624</v>
      </c>
      <c r="BD30" s="3">
        <f t="shared" si="19"/>
        <v>5.5076587388083773</v>
      </c>
      <c r="BE30" s="3">
        <f t="shared" si="20"/>
        <v>5.2249100264067483</v>
      </c>
      <c r="BF30" s="3" t="e">
        <f t="shared" si="21"/>
        <v>#N/A</v>
      </c>
      <c r="BG30" s="3" t="e">
        <f t="shared" si="22"/>
        <v>#N/A</v>
      </c>
      <c r="BH30" s="3" t="e">
        <f t="shared" si="23"/>
        <v>#N/A</v>
      </c>
      <c r="BI30" s="3">
        <f t="shared" si="24"/>
        <v>-48.91454815982641</v>
      </c>
      <c r="BJ30" s="3">
        <f t="shared" si="25"/>
        <v>-12.700464815394719</v>
      </c>
      <c r="BK30" s="3">
        <f t="shared" si="26"/>
        <v>-14.348877569989378</v>
      </c>
      <c r="BL30" s="3">
        <f t="shared" si="27"/>
        <v>-9.1305292516240346</v>
      </c>
      <c r="BM30" s="3">
        <f t="shared" si="28"/>
        <v>-2.9824364099996403</v>
      </c>
      <c r="BN30" s="3" t="e">
        <f t="shared" si="29"/>
        <v>#N/A</v>
      </c>
      <c r="BO30" s="3">
        <f t="shared" si="30"/>
        <v>25.247522949702795</v>
      </c>
      <c r="BP30" s="3">
        <f t="shared" si="31"/>
        <v>13.988931686681985</v>
      </c>
      <c r="BQ30" s="3">
        <f t="shared" si="32"/>
        <v>10.660930105498341</v>
      </c>
      <c r="BR30" s="3" t="e">
        <f t="shared" si="33"/>
        <v>#N/A</v>
      </c>
      <c r="BS30" s="3" t="e">
        <f t="shared" si="34"/>
        <v>#N/A</v>
      </c>
      <c r="BT30" s="7" t="e">
        <f t="shared" si="35"/>
        <v>#N/A</v>
      </c>
    </row>
    <row r="31" spans="1:72" x14ac:dyDescent="0.2">
      <c r="AP31" s="1"/>
      <c r="AQ31" s="35"/>
      <c r="AR31" s="16"/>
      <c r="AS31" s="16"/>
      <c r="AT31" s="16"/>
      <c r="AU31" s="16"/>
      <c r="AV31" s="16"/>
      <c r="AW31" s="16"/>
      <c r="AY31" s="29">
        <f t="shared" si="37"/>
        <v>12</v>
      </c>
      <c r="AZ31" s="3">
        <f t="shared" si="15"/>
        <v>-19.948689835251908</v>
      </c>
      <c r="BA31" s="3" t="e">
        <f t="shared" si="16"/>
        <v>#N/A</v>
      </c>
      <c r="BB31" s="3">
        <f t="shared" si="17"/>
        <v>27.101534839686057</v>
      </c>
      <c r="BC31" s="3">
        <f t="shared" si="18"/>
        <v>-1.3586283100123502</v>
      </c>
      <c r="BD31" s="3">
        <f t="shared" si="19"/>
        <v>6.8637591087768657</v>
      </c>
      <c r="BE31" s="3">
        <f t="shared" si="20"/>
        <v>6.2661238299081381</v>
      </c>
      <c r="BF31" s="3" t="e">
        <f t="shared" si="21"/>
        <v>#N/A</v>
      </c>
      <c r="BG31" s="3" t="e">
        <f t="shared" si="22"/>
        <v>#N/A</v>
      </c>
      <c r="BH31" s="3" t="e">
        <f t="shared" si="23"/>
        <v>#N/A</v>
      </c>
      <c r="BI31" s="3">
        <f t="shared" si="24"/>
        <v>-52.534874613928409</v>
      </c>
      <c r="BJ31" s="3">
        <f t="shared" si="25"/>
        <v>-15.718535920722605</v>
      </c>
      <c r="BK31" s="3">
        <f t="shared" si="26"/>
        <v>-20.429386139476051</v>
      </c>
      <c r="BL31" s="3">
        <f t="shared" si="27"/>
        <v>-15.425680753190413</v>
      </c>
      <c r="BM31" s="3">
        <f t="shared" si="28"/>
        <v>-8.8864238231390953</v>
      </c>
      <c r="BN31" s="3" t="e">
        <f t="shared" si="29"/>
        <v>#N/A</v>
      </c>
      <c r="BO31" s="3">
        <f t="shared" si="30"/>
        <v>29.929386391484876</v>
      </c>
      <c r="BP31" s="3">
        <f t="shared" si="31"/>
        <v>17.288735832738045</v>
      </c>
      <c r="BQ31" s="3">
        <f t="shared" si="32"/>
        <v>12.845982284321217</v>
      </c>
      <c r="BR31" s="3" t="e">
        <f t="shared" si="33"/>
        <v>#N/A</v>
      </c>
      <c r="BS31" s="3" t="e">
        <f t="shared" si="34"/>
        <v>#N/A</v>
      </c>
      <c r="BT31" s="7" t="e">
        <f t="shared" si="35"/>
        <v>#N/A</v>
      </c>
    </row>
    <row r="32" spans="1:72" x14ac:dyDescent="0.2">
      <c r="AP32" s="1"/>
      <c r="AQ32" s="16"/>
      <c r="AR32" s="16"/>
      <c r="AS32" s="16"/>
      <c r="AT32" s="16"/>
      <c r="AU32" s="16"/>
      <c r="AV32" s="16"/>
      <c r="AW32" s="16"/>
      <c r="AY32" s="29">
        <f t="shared" si="37"/>
        <v>12.5</v>
      </c>
      <c r="AZ32" s="3">
        <f t="shared" si="15"/>
        <v>-13.677150992021119</v>
      </c>
      <c r="BA32" s="3" t="e">
        <f t="shared" si="16"/>
        <v>#N/A</v>
      </c>
      <c r="BB32" s="3">
        <f t="shared" si="17"/>
        <v>31.168221723113156</v>
      </c>
      <c r="BC32" s="3">
        <f t="shared" si="18"/>
        <v>0.97428367224259049</v>
      </c>
      <c r="BD32" s="3">
        <f t="shared" si="19"/>
        <v>8.5736963549530127</v>
      </c>
      <c r="BE32" s="3">
        <f t="shared" si="20"/>
        <v>7.6713155747954156</v>
      </c>
      <c r="BF32" s="3" t="e">
        <f t="shared" si="21"/>
        <v>#N/A</v>
      </c>
      <c r="BG32" s="3" t="e">
        <f t="shared" si="22"/>
        <v>#N/A</v>
      </c>
      <c r="BH32" s="3" t="e">
        <f t="shared" si="23"/>
        <v>#N/A</v>
      </c>
      <c r="BI32" s="3">
        <f t="shared" si="24"/>
        <v>-55.08390824451638</v>
      </c>
      <c r="BJ32" s="3">
        <f t="shared" si="25"/>
        <v>-18.176589886379592</v>
      </c>
      <c r="BK32" s="3">
        <f t="shared" si="26"/>
        <v>-26.347932817305256</v>
      </c>
      <c r="BL32" s="3">
        <f t="shared" si="27"/>
        <v>-21.671463802792868</v>
      </c>
      <c r="BM32" s="3">
        <f t="shared" si="28"/>
        <v>-14.92321706246233</v>
      </c>
      <c r="BN32" s="3" t="e">
        <f t="shared" si="29"/>
        <v>#N/A</v>
      </c>
      <c r="BO32" s="3">
        <f t="shared" si="30"/>
        <v>34.731529512900785</v>
      </c>
      <c r="BP32" s="3">
        <f t="shared" si="31"/>
        <v>20.8108386336257</v>
      </c>
      <c r="BQ32" s="3">
        <f t="shared" si="32"/>
        <v>15.308759858393348</v>
      </c>
      <c r="BR32" s="3" t="e">
        <f t="shared" si="33"/>
        <v>#N/A</v>
      </c>
      <c r="BS32" s="3" t="e">
        <f t="shared" si="34"/>
        <v>#N/A</v>
      </c>
      <c r="BT32" s="7" t="e">
        <f t="shared" si="35"/>
        <v>#N/A</v>
      </c>
    </row>
    <row r="33" spans="2:72" x14ac:dyDescent="0.2">
      <c r="AP33" s="1"/>
      <c r="AQ33" s="16"/>
      <c r="AR33" s="16"/>
      <c r="AS33" s="16"/>
      <c r="AT33" s="16"/>
      <c r="AU33" s="16"/>
      <c r="AV33" s="16"/>
      <c r="AW33" s="16"/>
      <c r="AY33" s="29">
        <f t="shared" si="37"/>
        <v>13</v>
      </c>
      <c r="AZ33" s="3">
        <f t="shared" si="15"/>
        <v>-7.4663449551510865</v>
      </c>
      <c r="BA33" s="3" t="e">
        <f t="shared" si="16"/>
        <v>#N/A</v>
      </c>
      <c r="BB33" s="3">
        <f t="shared" si="17"/>
        <v>35.331508843383723</v>
      </c>
      <c r="BC33" s="3">
        <f t="shared" si="18"/>
        <v>3.7057397218900126</v>
      </c>
      <c r="BD33" s="3">
        <f t="shared" si="19"/>
        <v>10.613934956709853</v>
      </c>
      <c r="BE33" s="3">
        <f t="shared" si="20"/>
        <v>9.4205221522991565</v>
      </c>
      <c r="BF33" s="3" t="e">
        <f t="shared" si="21"/>
        <v>#N/A</v>
      </c>
      <c r="BG33" s="3" t="e">
        <f t="shared" si="22"/>
        <v>#N/A</v>
      </c>
      <c r="BH33" s="3" t="e">
        <f t="shared" si="23"/>
        <v>#N/A</v>
      </c>
      <c r="BI33" s="3">
        <f t="shared" si="24"/>
        <v>-56.313321851024739</v>
      </c>
      <c r="BJ33" s="3">
        <f t="shared" si="25"/>
        <v>-20.01441956836857</v>
      </c>
      <c r="BK33" s="3">
        <f t="shared" si="26"/>
        <v>-32.03985002257393</v>
      </c>
      <c r="BL33" s="3">
        <f t="shared" si="27"/>
        <v>-27.827035797732236</v>
      </c>
      <c r="BM33" s="3">
        <f t="shared" si="28"/>
        <v>-21.064020356348347</v>
      </c>
      <c r="BN33" s="3" t="e">
        <f t="shared" si="29"/>
        <v>#N/A</v>
      </c>
      <c r="BO33" s="3">
        <f t="shared" si="30"/>
        <v>39.621786075025618</v>
      </c>
      <c r="BP33" s="3">
        <f t="shared" si="31"/>
        <v>24.521224365084585</v>
      </c>
      <c r="BQ33" s="3">
        <f t="shared" si="32"/>
        <v>18.020164476141321</v>
      </c>
      <c r="BR33" s="3" t="e">
        <f t="shared" si="33"/>
        <v>#N/A</v>
      </c>
      <c r="BS33" s="3" t="e">
        <f t="shared" si="34"/>
        <v>#N/A</v>
      </c>
      <c r="BT33" s="7" t="e">
        <f t="shared" si="35"/>
        <v>#N/A</v>
      </c>
    </row>
    <row r="34" spans="2:72" x14ac:dyDescent="0.2">
      <c r="AP34" s="1"/>
      <c r="AQ34" s="16"/>
      <c r="AR34" s="16"/>
      <c r="AS34" s="16"/>
      <c r="AT34" s="16"/>
      <c r="AU34" s="16"/>
      <c r="AV34" s="16"/>
      <c r="AW34" s="16"/>
      <c r="AY34" s="29">
        <f t="shared" si="37"/>
        <v>13.5</v>
      </c>
      <c r="AZ34" s="3">
        <f t="shared" si="15"/>
        <v>-1.3454404045085029</v>
      </c>
      <c r="BA34" s="3" t="e">
        <f t="shared" si="16"/>
        <v>#N/A</v>
      </c>
      <c r="BB34" s="3">
        <f t="shared" si="17"/>
        <v>39.552929444359805</v>
      </c>
      <c r="BC34" s="3">
        <f t="shared" si="18"/>
        <v>6.797500971119077</v>
      </c>
      <c r="BD34" s="3">
        <f t="shared" si="19"/>
        <v>12.957906481620649</v>
      </c>
      <c r="BE34" s="3">
        <f t="shared" si="20"/>
        <v>11.490057954386517</v>
      </c>
      <c r="BF34" s="3" t="e">
        <f t="shared" si="21"/>
        <v>#N/A</v>
      </c>
      <c r="BG34" s="3" t="e">
        <f t="shared" si="22"/>
        <v>#N/A</v>
      </c>
      <c r="BH34" s="3" t="e">
        <f t="shared" si="23"/>
        <v>#N/A</v>
      </c>
      <c r="BI34" s="3">
        <f t="shared" si="24"/>
        <v>-56.077448494274677</v>
      </c>
      <c r="BJ34" s="3">
        <f t="shared" si="25"/>
        <v>-21.181461346424975</v>
      </c>
      <c r="BK34" s="3">
        <f t="shared" si="26"/>
        <v>-37.418570536387726</v>
      </c>
      <c r="BL34" s="3">
        <f t="shared" si="27"/>
        <v>-33.840282906393909</v>
      </c>
      <c r="BM34" s="3">
        <f t="shared" si="28"/>
        <v>-27.283428649167803</v>
      </c>
      <c r="BN34" s="3" t="e">
        <f t="shared" si="29"/>
        <v>#N/A</v>
      </c>
      <c r="BO34" s="3">
        <f t="shared" si="30"/>
        <v>44.565504786428093</v>
      </c>
      <c r="BP34" s="3">
        <f t="shared" si="31"/>
        <v>28.385682618726161</v>
      </c>
      <c r="BQ34" s="3">
        <f t="shared" si="32"/>
        <v>20.949742078509214</v>
      </c>
      <c r="BR34" s="3" t="e">
        <f t="shared" si="33"/>
        <v>#N/A</v>
      </c>
      <c r="BS34" s="3" t="e">
        <f t="shared" si="34"/>
        <v>#N/A</v>
      </c>
      <c r="BT34" s="7" t="e">
        <f t="shared" si="35"/>
        <v>#N/A</v>
      </c>
    </row>
    <row r="35" spans="2:72" x14ac:dyDescent="0.2">
      <c r="AP35" s="3"/>
      <c r="AQ35" s="3"/>
      <c r="AY35" s="29">
        <f t="shared" si="37"/>
        <v>14</v>
      </c>
      <c r="AZ35" s="3">
        <f t="shared" si="15"/>
        <v>4.652859215761362</v>
      </c>
      <c r="BA35" s="3" t="e">
        <f t="shared" si="16"/>
        <v>#N/A</v>
      </c>
      <c r="BB35" s="3">
        <f t="shared" si="17"/>
        <v>43.789037560171238</v>
      </c>
      <c r="BC35" s="3">
        <f t="shared" si="18"/>
        <v>10.210754878693139</v>
      </c>
      <c r="BD35" s="3">
        <f t="shared" si="19"/>
        <v>15.576839873601017</v>
      </c>
      <c r="BE35" s="3">
        <f t="shared" si="20"/>
        <v>13.853374764438705</v>
      </c>
      <c r="BF35" s="3" t="e">
        <f t="shared" si="21"/>
        <v>#N/A</v>
      </c>
      <c r="BG35" s="3" t="e">
        <f t="shared" si="22"/>
        <v>#N/A</v>
      </c>
      <c r="BH35" s="3" t="e">
        <f t="shared" si="23"/>
        <v>#N/A</v>
      </c>
      <c r="BI35" s="3">
        <f t="shared" si="24"/>
        <v>-54.405742848325275</v>
      </c>
      <c r="BJ35" s="3">
        <f t="shared" si="25"/>
        <v>-21.642819644043801</v>
      </c>
      <c r="BK35" s="3">
        <f t="shared" si="26"/>
        <v>-42.366800364273502</v>
      </c>
      <c r="BL35" s="3">
        <f t="shared" si="27"/>
        <v>-39.640607472262317</v>
      </c>
      <c r="BM35" s="3">
        <f t="shared" si="28"/>
        <v>-33.557647037834457</v>
      </c>
      <c r="BN35" s="3" t="e">
        <f t="shared" si="29"/>
        <v>#N/A</v>
      </c>
      <c r="BO35" s="3">
        <f t="shared" si="30"/>
        <v>49.522297263767598</v>
      </c>
      <c r="BP35" s="3">
        <f t="shared" si="31"/>
        <v>32.369213658587292</v>
      </c>
      <c r="BQ35" s="3">
        <f t="shared" si="32"/>
        <v>24.065925103427784</v>
      </c>
      <c r="BR35" s="3" t="e">
        <f t="shared" si="33"/>
        <v>#N/A</v>
      </c>
      <c r="BS35" s="3" t="e">
        <f t="shared" si="34"/>
        <v>#N/A</v>
      </c>
      <c r="BT35" s="7" t="e">
        <f t="shared" si="35"/>
        <v>#N/A</v>
      </c>
    </row>
    <row r="36" spans="2:72" x14ac:dyDescent="0.2">
      <c r="AP36" s="3"/>
      <c r="AQ36" s="16"/>
      <c r="AR36" s="16"/>
      <c r="AS36" s="16"/>
      <c r="AT36" s="16"/>
      <c r="AY36" s="29">
        <f t="shared" si="37"/>
        <v>14.5</v>
      </c>
      <c r="AZ36" s="3">
        <f t="shared" si="15"/>
        <v>10.489921292141169</v>
      </c>
      <c r="BA36" s="3" t="e">
        <f t="shared" si="16"/>
        <v>#N/A</v>
      </c>
      <c r="BB36" s="3">
        <f t="shared" si="17"/>
        <v>47.98798696108318</v>
      </c>
      <c r="BC36" s="3">
        <f t="shared" si="18"/>
        <v>13.907245167781513</v>
      </c>
      <c r="BD36" s="3">
        <f t="shared" si="19"/>
        <v>18.440425666460357</v>
      </c>
      <c r="BE36" s="3">
        <f t="shared" si="20"/>
        <v>16.481826689913465</v>
      </c>
      <c r="BF36" s="3" t="e">
        <f t="shared" si="21"/>
        <v>#N/A</v>
      </c>
      <c r="BG36" s="3" t="e">
        <f t="shared" si="22"/>
        <v>#N/A</v>
      </c>
      <c r="BH36" s="3" t="e">
        <f t="shared" si="23"/>
        <v>#N/A</v>
      </c>
      <c r="BI36" s="3">
        <f t="shared" si="24"/>
        <v>-51.487004717602865</v>
      </c>
      <c r="BJ36" s="3">
        <f t="shared" si="25"/>
        <v>-21.384052998878477</v>
      </c>
      <c r="BK36" s="3">
        <f t="shared" si="26"/>
        <v>-46.727248463351216</v>
      </c>
      <c r="BL36" s="3">
        <f t="shared" si="27"/>
        <v>-45.128195716925973</v>
      </c>
      <c r="BM36" s="3">
        <f t="shared" si="28"/>
        <v>-39.862358485889239</v>
      </c>
      <c r="BN36" s="3" t="e">
        <f t="shared" si="29"/>
        <v>#N/A</v>
      </c>
      <c r="BO36" s="3">
        <f t="shared" si="30"/>
        <v>54.440470899702063</v>
      </c>
      <c r="BP36" s="3">
        <f t="shared" si="31"/>
        <v>36.434980899164678</v>
      </c>
      <c r="BQ36" s="3">
        <f t="shared" si="32"/>
        <v>27.336006239369983</v>
      </c>
      <c r="BR36" s="3" t="e">
        <f t="shared" si="33"/>
        <v>#N/A</v>
      </c>
      <c r="BS36" s="3" t="e">
        <f t="shared" si="34"/>
        <v>#N/A</v>
      </c>
      <c r="BT36" s="7" t="e">
        <f t="shared" si="35"/>
        <v>#N/A</v>
      </c>
    </row>
    <row r="37" spans="2:72" ht="17" thickBot="1" x14ac:dyDescent="0.25">
      <c r="AQ37" s="1"/>
      <c r="AR37" s="1"/>
      <c r="AS37" s="1"/>
      <c r="AY37" s="30">
        <f t="shared" si="37"/>
        <v>15</v>
      </c>
      <c r="AZ37" s="10">
        <f t="shared" si="15"/>
        <v>16.118498732643513</v>
      </c>
      <c r="BA37" s="10" t="e">
        <f t="shared" si="16"/>
        <v>#N/A</v>
      </c>
      <c r="BB37" s="10">
        <f t="shared" si="17"/>
        <v>52.084371714298726</v>
      </c>
      <c r="BC37" s="10">
        <f t="shared" si="18"/>
        <v>17.849950334707632</v>
      </c>
      <c r="BD37" s="10">
        <f t="shared" si="19"/>
        <v>21.517255890419381</v>
      </c>
      <c r="BE37" s="10">
        <f t="shared" si="20"/>
        <v>19.345264392037549</v>
      </c>
      <c r="BF37" s="10" t="e">
        <f t="shared" si="21"/>
        <v>#N/A</v>
      </c>
      <c r="BG37" s="10" t="e">
        <f t="shared" si="22"/>
        <v>#N/A</v>
      </c>
      <c r="BH37" s="10" t="e">
        <f t="shared" si="23"/>
        <v>#N/A</v>
      </c>
      <c r="BI37" s="10">
        <f t="shared" si="24"/>
        <v>-47.581821485255055</v>
      </c>
      <c r="BJ37" s="10">
        <f t="shared" si="25"/>
        <v>-20.413307898187451</v>
      </c>
      <c r="BK37" s="10">
        <f t="shared" si="26"/>
        <v>-50.298143005481123</v>
      </c>
      <c r="BL37" s="10">
        <f t="shared" si="27"/>
        <v>-50.158646571485207</v>
      </c>
      <c r="BM37" s="10">
        <f t="shared" si="28"/>
        <v>-46.16963184892672</v>
      </c>
      <c r="BN37" s="10" t="e">
        <f t="shared" si="29"/>
        <v>#N/A</v>
      </c>
      <c r="BO37" s="10">
        <f t="shared" si="30"/>
        <v>59.246950335125284</v>
      </c>
      <c r="BP37" s="10">
        <f t="shared" si="31"/>
        <v>40.542675623945854</v>
      </c>
      <c r="BQ37" s="10">
        <f t="shared" si="32"/>
        <v>30.725813161374678</v>
      </c>
      <c r="BR37" s="10" t="e">
        <f t="shared" si="33"/>
        <v>#N/A</v>
      </c>
      <c r="BS37" s="10" t="e">
        <f t="shared" si="34"/>
        <v>#N/A</v>
      </c>
      <c r="BT37" s="11" t="e">
        <f t="shared" si="35"/>
        <v>#N/A</v>
      </c>
    </row>
    <row r="38" spans="2:72" x14ac:dyDescent="0.2">
      <c r="B38" s="1"/>
      <c r="AQ38" s="1"/>
      <c r="AR38" s="1"/>
      <c r="AS38" s="1"/>
    </row>
    <row r="39" spans="2:72" ht="17" thickBot="1" x14ac:dyDescent="0.25">
      <c r="AQ39" s="1"/>
      <c r="AR39" s="1"/>
      <c r="AS39" s="1"/>
      <c r="AU39" s="1"/>
      <c r="AV39" s="1"/>
      <c r="AW39" s="1"/>
      <c r="AX39" s="1"/>
      <c r="AY39" s="1"/>
      <c r="AZ39" s="1"/>
    </row>
    <row r="40" spans="2:72" ht="17" thickBot="1" x14ac:dyDescent="0.25">
      <c r="AQ40" s="1"/>
      <c r="AR40" s="1"/>
      <c r="AS40" s="1"/>
      <c r="AU40" s="1"/>
      <c r="AV40" s="1"/>
      <c r="AW40" s="1"/>
      <c r="AX40" s="1"/>
      <c r="BH40" s="307" t="s">
        <v>99</v>
      </c>
      <c r="BI40" s="308"/>
      <c r="BJ40" s="308"/>
      <c r="BK40" s="309"/>
      <c r="BO40" s="301" t="s">
        <v>11</v>
      </c>
      <c r="BP40" s="302"/>
      <c r="BQ40" s="302"/>
      <c r="BR40" s="303"/>
    </row>
    <row r="41" spans="2:72" x14ac:dyDescent="0.2">
      <c r="AQ41" s="1"/>
      <c r="AR41" s="1"/>
      <c r="AS41" s="1"/>
      <c r="AU41" s="1"/>
      <c r="AV41" s="1"/>
      <c r="AW41" s="1"/>
      <c r="AX41" s="1"/>
      <c r="BE41" s="1"/>
      <c r="BG41" s="69" t="s">
        <v>38</v>
      </c>
      <c r="BH41" s="70" t="s">
        <v>0</v>
      </c>
      <c r="BI41" s="70" t="s">
        <v>5</v>
      </c>
      <c r="BJ41" s="70" t="s">
        <v>6</v>
      </c>
      <c r="BK41" s="70" t="s">
        <v>28</v>
      </c>
      <c r="BL41" s="71" t="s">
        <v>29</v>
      </c>
      <c r="BO41" s="40" t="s">
        <v>28</v>
      </c>
      <c r="BP41" s="2" t="s">
        <v>29</v>
      </c>
      <c r="BQ41" s="297" t="s">
        <v>30</v>
      </c>
      <c r="BR41" s="298"/>
    </row>
    <row r="42" spans="2:72" x14ac:dyDescent="0.2">
      <c r="AQ42" s="1"/>
      <c r="AR42" s="1"/>
      <c r="AS42" s="1"/>
      <c r="AU42" s="1"/>
      <c r="AV42" s="1"/>
      <c r="AW42" s="1"/>
      <c r="AX42" s="1"/>
      <c r="BE42" s="1"/>
      <c r="BG42" s="72">
        <v>0</v>
      </c>
      <c r="BH42" s="65">
        <f>$B$6 - Calcs!AG57/15</f>
        <v>11.956162054247006</v>
      </c>
      <c r="BI42" s="64">
        <f>MOD(-180/PI()*ATAN2(-SIN(RADIANS($B$3))*COS(RADIANS(Calcs!AH57))*COS(RADIANS(15*BH42))+COS(RADIANS($B$3))*SIN(RADIANS(Calcs!AH57)),COS(RADIANS(Calcs!AH57))*SIN(RADIANS(15*BH42))),360)</f>
        <v>359.69872318158684</v>
      </c>
      <c r="BJ42" s="64">
        <f>180/PI()*ASIN(SIN(RADIANS($B$3))*SIN(RADIANS(Calcs!AH57))+COS(RADIANS($B$3))*COS(RADIANS(Calcs!AH57))*COS(RADIANS(15*BH42)))</f>
        <v>5.5714548440925586</v>
      </c>
      <c r="BK42" s="35">
        <f>IF(BJ42&lt;0,NA(),(90-BJ42)/90*SIN(RADIANS(-BI42)))</f>
        <v>4.9327360714542306E-3</v>
      </c>
      <c r="BL42" s="47">
        <f>IF(BJ42&lt;0,NA(),(90-BJ42)/90*COS(RADIANS(-BI42)))</f>
        <v>0.93808197731179532</v>
      </c>
      <c r="BO42" s="24">
        <v>310</v>
      </c>
      <c r="BP42" s="1">
        <v>90</v>
      </c>
      <c r="BQ42" s="299" t="s">
        <v>47</v>
      </c>
      <c r="BR42" s="300"/>
    </row>
    <row r="43" spans="2:72" x14ac:dyDescent="0.2">
      <c r="AQ43" s="1"/>
      <c r="AR43" s="1"/>
      <c r="AS43" s="1"/>
      <c r="AU43" s="1"/>
      <c r="AV43" s="1"/>
      <c r="AW43" s="1"/>
      <c r="AX43" s="1"/>
      <c r="BG43" s="73">
        <v>30</v>
      </c>
      <c r="BH43" s="65">
        <f>$B$6 - Calcs!AG58/15</f>
        <v>-8.5973635563205217</v>
      </c>
      <c r="BI43" s="64">
        <f>MOD(-180/PI()*ATAN2(-SIN(RADIANS($B$3))*COS(RADIANS(Calcs!AH58))*COS(RADIANS(15*BH43))+COS(RADIANS($B$3))*SIN(RADIANS(Calcs!AH58)),COS(RADIANS(Calcs!AH58))*SIN(RADIANS(15*BH43))),360)</f>
        <v>29.801588629516104</v>
      </c>
      <c r="BJ43" s="64">
        <f>180/PI()*ASIN(SIN(RADIANS($B$3))*SIN(RADIANS(Calcs!AH58))+COS(RADIANS($B$3))*COS(RADIANS(Calcs!AH58))*COS(RADIANS(15*BH43)))</f>
        <v>4.5455180471699244</v>
      </c>
      <c r="BK43" s="35">
        <f t="shared" ref="BK43:BK54" si="38">IF(BJ43&lt;0,NA(),(90-BJ43)/90*SIN(RADIANS(-BI43)))</f>
        <v>-0.47189676037800249</v>
      </c>
      <c r="BL43" s="47">
        <f t="shared" ref="BL43:BL54" si="39">IF(BJ43&lt;0,NA(),(90-BJ43)/90*COS(RADIANS(-BI43)))</f>
        <v>0.82392521916894446</v>
      </c>
      <c r="BO43" s="24">
        <v>350</v>
      </c>
      <c r="BP43" s="1">
        <v>90</v>
      </c>
      <c r="BQ43" s="35">
        <f>B8</f>
        <v>9.4</v>
      </c>
      <c r="BR43" s="14"/>
    </row>
    <row r="44" spans="2:72" x14ac:dyDescent="0.2">
      <c r="AQ44" s="1"/>
      <c r="AR44" s="1"/>
      <c r="AS44" s="1"/>
      <c r="AU44" s="1"/>
      <c r="AV44" s="1"/>
      <c r="AW44" s="1"/>
      <c r="AX44" s="1"/>
      <c r="BE44" s="1"/>
      <c r="BG44" s="73">
        <v>60</v>
      </c>
      <c r="BH44" s="65">
        <f>$B$6 - Calcs!AG59/15</f>
        <v>-7.027171356077849</v>
      </c>
      <c r="BI44" s="64">
        <f>MOD(-180/PI()*ATAN2(-SIN(RADIANS($B$3))*COS(RADIANS(Calcs!AH59))*COS(RADIANS(15*BH44))+COS(RADIANS($B$3))*SIN(RADIANS(Calcs!AH59)),COS(RADIANS(Calcs!AH59))*SIN(RADIANS(15*BH44))),360)</f>
        <v>59.774337568943849</v>
      </c>
      <c r="BJ44" s="64">
        <f>180/PI()*ASIN(SIN(RADIANS($B$3))*SIN(RADIANS(Calcs!AH59))+COS(RADIANS($B$3))*COS(RADIANS(Calcs!AH59))*COS(RADIANS(15*BH44)))</f>
        <v>2.3027532433765572</v>
      </c>
      <c r="BK44" s="35">
        <f t="shared" si="38"/>
        <v>-0.84194172020317737</v>
      </c>
      <c r="BL44" s="47">
        <f t="shared" si="39"/>
        <v>0.4905267540205826</v>
      </c>
      <c r="BO44" s="24">
        <v>12</v>
      </c>
      <c r="BP44" s="1">
        <v>90</v>
      </c>
      <c r="BQ44" s="299" t="s">
        <v>65</v>
      </c>
      <c r="BR44" s="300"/>
    </row>
    <row r="45" spans="2:72" x14ac:dyDescent="0.2">
      <c r="AQ45" s="1"/>
      <c r="AR45" s="1"/>
      <c r="AS45" s="1"/>
      <c r="AU45" s="1"/>
      <c r="AV45" s="1"/>
      <c r="AW45" s="1"/>
      <c r="AX45" s="1"/>
      <c r="BE45" s="1"/>
      <c r="BG45" s="73">
        <v>90</v>
      </c>
      <c r="BH45" s="65">
        <f>$B$6 - Calcs!AG60/15</f>
        <v>-6.0438379457529958</v>
      </c>
      <c r="BI45" s="64">
        <f>MOD(-180/PI()*ATAN2(-SIN(RADIANS($B$3))*COS(RADIANS(Calcs!AH60))*COS(RADIANS(15*BH45))+COS(RADIANS($B$3))*SIN(RADIANS(Calcs!AH60)),COS(RADIANS(Calcs!AH60))*SIN(RADIANS(15*BH45))),360)</f>
        <v>89.644743566771126</v>
      </c>
      <c r="BJ45" s="64">
        <f>180/PI()*ASIN(SIN(RADIANS($B$3))*SIN(RADIANS(Calcs!AH60))+COS(RADIANS($B$3))*COS(RADIANS(Calcs!AH60))*COS(RADIANS(15*BH45)))</f>
        <v>-0.55334801464709282</v>
      </c>
      <c r="BK45" s="35" t="e">
        <f t="shared" si="38"/>
        <v>#N/A</v>
      </c>
      <c r="BL45" s="47" t="e">
        <f t="shared" si="39"/>
        <v>#N/A</v>
      </c>
      <c r="BO45" s="68">
        <f>B7</f>
        <v>9.6666666666666679</v>
      </c>
      <c r="BP45" s="1">
        <v>4</v>
      </c>
      <c r="BQ45" s="1" t="s">
        <v>34</v>
      </c>
      <c r="BR45" s="14"/>
    </row>
    <row r="46" spans="2:72" x14ac:dyDescent="0.2">
      <c r="AQ46" s="1"/>
      <c r="AR46" s="1"/>
      <c r="AS46" s="1"/>
      <c r="BE46" s="1"/>
      <c r="BG46" s="73">
        <v>120</v>
      </c>
      <c r="BH46" s="65">
        <f>$B$6 - Calcs!AG61/15</f>
        <v>-5.0605045354281391</v>
      </c>
      <c r="BI46" s="64">
        <f>MOD(-180/PI()*ATAN2(-SIN(RADIANS($B$3))*COS(RADIANS(Calcs!AH61))*COS(RADIANS(15*BH46))+COS(RADIANS($B$3))*SIN(RADIANS(Calcs!AH61)),COS(RADIANS(Calcs!AH61))*SIN(RADIANS(15*BH46))),360)</f>
        <v>119.54194999213193</v>
      </c>
      <c r="BJ46" s="64">
        <f>180/PI()*ASIN(SIN(RADIANS($B$3))*SIN(RADIANS(Calcs!AH61))+COS(RADIANS($B$3))*COS(RADIANS(Calcs!AH61))*COS(RADIANS(15*BH46)))</f>
        <v>-3.2623077494799344</v>
      </c>
      <c r="BK46" s="35" t="e">
        <f t="shared" si="38"/>
        <v>#N/A</v>
      </c>
      <c r="BL46" s="47" t="e">
        <f t="shared" si="39"/>
        <v>#N/A</v>
      </c>
      <c r="BO46" s="24">
        <v>0.7</v>
      </c>
      <c r="BP46" s="1">
        <v>1.08</v>
      </c>
      <c r="BR46" s="14"/>
    </row>
    <row r="47" spans="2:72" ht="17" thickBot="1" x14ac:dyDescent="0.25">
      <c r="AU47" s="54"/>
      <c r="AV47" s="54"/>
      <c r="AW47" s="54"/>
      <c r="AX47" s="55"/>
      <c r="BE47" s="1"/>
      <c r="BG47" s="73">
        <v>150</v>
      </c>
      <c r="BH47" s="65">
        <f>$B$6 - Calcs!AG62/15</f>
        <v>-3.4903123351854664</v>
      </c>
      <c r="BI47" s="64">
        <f>MOD(-180/PI()*ATAN2(-SIN(RADIANS($B$3))*COS(RADIANS(Calcs!AH62))*COS(RADIANS(15*BH47))+COS(RADIANS($B$3))*SIN(RADIANS(Calcs!AH62)),COS(RADIANS(Calcs!AH62))*SIN(RADIANS(15*BH47))),360)</f>
        <v>149.56867766836234</v>
      </c>
      <c r="BJ47" s="64">
        <f>180/PI()*ASIN(SIN(RADIANS($B$3))*SIN(RADIANS(Calcs!AH62))+COS(RADIANS($B$3))*COS(RADIANS(Calcs!AH62))*COS(RADIANS(15*BH47)))</f>
        <v>-5.1008260065832571</v>
      </c>
      <c r="BK47" s="35" t="e">
        <f t="shared" si="38"/>
        <v>#N/A</v>
      </c>
      <c r="BL47" s="47" t="e">
        <f t="shared" si="39"/>
        <v>#N/A</v>
      </c>
      <c r="BO47" s="26">
        <v>0.98</v>
      </c>
      <c r="BP47" s="27">
        <v>1.08</v>
      </c>
      <c r="BQ47" s="9"/>
      <c r="BR47" s="15"/>
    </row>
    <row r="48" spans="2:72" x14ac:dyDescent="0.2">
      <c r="AQ48" s="1"/>
      <c r="AR48" s="1"/>
      <c r="AS48" s="1"/>
      <c r="BE48" s="1"/>
      <c r="BF48" s="1"/>
      <c r="BG48" s="73">
        <v>180</v>
      </c>
      <c r="BH48" s="65">
        <f>$B$6 - Calcs!AG63/15</f>
        <v>-4.3837945752994045E-2</v>
      </c>
      <c r="BI48" s="64">
        <f>MOD(-180/PI()*ATAN2(-SIN(RADIANS($B$3))*COS(RADIANS(Calcs!AH63))*COS(RADIANS(15*BH48))+COS(RADIANS($B$3))*SIN(RADIANS(Calcs!AH63)),COS(RADIANS(Calcs!AH63))*SIN(RADIANS(15*BH48))),360)</f>
        <v>179.69872318158684</v>
      </c>
      <c r="BJ48" s="64">
        <f>180/PI()*ASIN(SIN(RADIANS($B$3))*SIN(RADIANS(Calcs!AH63))+COS(RADIANS($B$3))*COS(RADIANS(Calcs!AH63))*COS(RADIANS(15*BH48)))</f>
        <v>-5.5714548440925586</v>
      </c>
      <c r="BK48" s="35" t="e">
        <f t="shared" si="38"/>
        <v>#N/A</v>
      </c>
      <c r="BL48" s="47" t="e">
        <f t="shared" si="39"/>
        <v>#N/A</v>
      </c>
    </row>
    <row r="49" spans="43:66" x14ac:dyDescent="0.2">
      <c r="BF49" s="3"/>
      <c r="BG49" s="73">
        <v>210</v>
      </c>
      <c r="BH49" s="65">
        <f>$B$6 - Calcs!AG64/15</f>
        <v>3.4026364436794818</v>
      </c>
      <c r="BI49" s="64">
        <f>MOD(-180/PI()*ATAN2(-SIN(RADIANS($B$3))*COS(RADIANS(Calcs!AH64))*COS(RADIANS(15*BH49))+COS(RADIANS($B$3))*SIN(RADIANS(Calcs!AH64)),COS(RADIANS(Calcs!AH64))*SIN(RADIANS(15*BH49))),360)</f>
        <v>209.80158862951615</v>
      </c>
      <c r="BJ49" s="64">
        <f>180/PI()*ASIN(SIN(RADIANS($B$3))*SIN(RADIANS(Calcs!AH64))+COS(RADIANS($B$3))*COS(RADIANS(Calcs!AH64))*COS(RADIANS(15*BH49)))</f>
        <v>-4.545518047169943</v>
      </c>
      <c r="BK49" s="35" t="e">
        <f t="shared" si="38"/>
        <v>#N/A</v>
      </c>
      <c r="BL49" s="47" t="e">
        <f t="shared" si="39"/>
        <v>#N/A</v>
      </c>
    </row>
    <row r="50" spans="43:66" x14ac:dyDescent="0.2">
      <c r="BF50" s="3"/>
      <c r="BG50" s="73">
        <v>240</v>
      </c>
      <c r="BH50" s="65">
        <f>$B$6 - Calcs!AG65/15</f>
        <v>4.9728286439221518</v>
      </c>
      <c r="BI50" s="64">
        <f>MOD(-180/PI()*ATAN2(-SIN(RADIANS($B$3))*COS(RADIANS(Calcs!AH65))*COS(RADIANS(15*BH50))+COS(RADIANS($B$3))*SIN(RADIANS(Calcs!AH65)),COS(RADIANS(Calcs!AH65))*SIN(RADIANS(15*BH50))),360)</f>
        <v>239.77433756894385</v>
      </c>
      <c r="BJ50" s="64">
        <f>180/PI()*ASIN(SIN(RADIANS($B$3))*SIN(RADIANS(Calcs!AH65))+COS(RADIANS($B$3))*COS(RADIANS(Calcs!AH65))*COS(RADIANS(15*BH50)))</f>
        <v>-2.3027532433765701</v>
      </c>
      <c r="BK50" s="35" t="e">
        <f t="shared" si="38"/>
        <v>#N/A</v>
      </c>
      <c r="BL50" s="47" t="e">
        <f t="shared" si="39"/>
        <v>#N/A</v>
      </c>
      <c r="BM50" s="3"/>
      <c r="BN50" s="3"/>
    </row>
    <row r="51" spans="43:66" x14ac:dyDescent="0.2">
      <c r="BE51" s="1"/>
      <c r="BF51" s="1"/>
      <c r="BG51" s="73">
        <v>270</v>
      </c>
      <c r="BH51" s="65">
        <f>$B$6 - Calcs!AG66/15</f>
        <v>5.9561620542470068</v>
      </c>
      <c r="BI51" s="64">
        <f>MOD(-180/PI()*ATAN2(-SIN(RADIANS($B$3))*COS(RADIANS(Calcs!AH66))*COS(RADIANS(15*BH51))+COS(RADIANS($B$3))*SIN(RADIANS(Calcs!AH66)),COS(RADIANS(Calcs!AH66))*SIN(RADIANS(15*BH51))),360)</f>
        <v>269.64474356677113</v>
      </c>
      <c r="BJ51" s="64">
        <f>180/PI()*ASIN(SIN(RADIANS($B$3))*SIN(RADIANS(Calcs!AH66))+COS(RADIANS($B$3))*COS(RADIANS(Calcs!AH66))*COS(RADIANS(15*BH51)))</f>
        <v>0.55334801464705252</v>
      </c>
      <c r="BK51" s="35">
        <f t="shared" si="38"/>
        <v>0.9938325845272683</v>
      </c>
      <c r="BL51" s="47">
        <f t="shared" si="39"/>
        <v>-6.1622330090699562E-3</v>
      </c>
      <c r="BM51" s="3"/>
      <c r="BN51" s="3"/>
    </row>
    <row r="52" spans="43:66" x14ac:dyDescent="0.2">
      <c r="BE52" s="1"/>
      <c r="BF52" s="1"/>
      <c r="BG52" s="73">
        <v>300</v>
      </c>
      <c r="BH52" s="65">
        <f>$B$6 - Calcs!AG67/15</f>
        <v>6.9394954645718618</v>
      </c>
      <c r="BI52" s="64">
        <f>MOD(-180/PI()*ATAN2(-SIN(RADIANS($B$3))*COS(RADIANS(Calcs!AH67))*COS(RADIANS(15*BH52))+COS(RADIANS($B$3))*SIN(RADIANS(Calcs!AH67)),COS(RADIANS(Calcs!AH67))*SIN(RADIANS(15*BH52))),360)</f>
        <v>299.541949992132</v>
      </c>
      <c r="BJ52" s="64">
        <f>180/PI()*ASIN(SIN(RADIANS($B$3))*SIN(RADIANS(Calcs!AH67))+COS(RADIANS($B$3))*COS(RADIANS(Calcs!AH67))*COS(RADIANS(15*BH52)))</f>
        <v>3.262307749479942</v>
      </c>
      <c r="BK52" s="35">
        <f t="shared" si="38"/>
        <v>0.83845946945531658</v>
      </c>
      <c r="BL52" s="47">
        <f t="shared" si="39"/>
        <v>0.47518827631853094</v>
      </c>
      <c r="BM52" s="3"/>
      <c r="BN52" s="3"/>
    </row>
    <row r="53" spans="43:66" x14ac:dyDescent="0.2">
      <c r="BE53" s="1"/>
      <c r="BF53" s="1"/>
      <c r="BG53" s="73">
        <v>330</v>
      </c>
      <c r="BH53" s="65">
        <f>$B$6 - Calcs!AG68/15</f>
        <v>8.5096876648145319</v>
      </c>
      <c r="BI53" s="64">
        <f>MOD(-180/PI()*ATAN2(-SIN(RADIANS($B$3))*COS(RADIANS(Calcs!AH68))*COS(RADIANS(15*BH53))+COS(RADIANS($B$3))*SIN(RADIANS(Calcs!AH68)),COS(RADIANS(Calcs!AH68))*SIN(RADIANS(15*BH53))),360)</f>
        <v>329.56867766836228</v>
      </c>
      <c r="BJ53" s="64">
        <f>180/PI()*ASIN(SIN(RADIANS($B$3))*SIN(RADIANS(Calcs!AH68))+COS(RADIANS($B$3))*COS(RADIANS(Calcs!AH68))*COS(RADIANS(15*BH53)))</f>
        <v>5.1008260065832447</v>
      </c>
      <c r="BK53" s="35">
        <f t="shared" si="38"/>
        <v>0.47779859529296337</v>
      </c>
      <c r="BL53" s="47">
        <f t="shared" si="39"/>
        <v>0.813368898257531</v>
      </c>
      <c r="BM53" s="3"/>
      <c r="BN53" s="3"/>
    </row>
    <row r="54" spans="43:66" x14ac:dyDescent="0.2">
      <c r="BE54" s="1"/>
      <c r="BF54" s="1"/>
      <c r="BG54" s="73">
        <v>360</v>
      </c>
      <c r="BH54" s="65">
        <f>$B$6 - Calcs!AG69/15</f>
        <v>11.956162054247006</v>
      </c>
      <c r="BI54" s="64">
        <f>MOD(-180/PI()*ATAN2(-SIN(RADIANS($B$3))*COS(RADIANS(Calcs!AH69))*COS(RADIANS(15*BH54))+COS(RADIANS($B$3))*SIN(RADIANS(Calcs!AH69)),COS(RADIANS(Calcs!AH69))*SIN(RADIANS(15*BH54))),360)</f>
        <v>359.69872318158684</v>
      </c>
      <c r="BJ54" s="64">
        <f>180/PI()*ASIN(SIN(RADIANS($B$3))*SIN(RADIANS(Calcs!AH69))+COS(RADIANS($B$3))*COS(RADIANS(Calcs!AH69))*COS(RADIANS(15*BH54)))</f>
        <v>5.5714548440925586</v>
      </c>
      <c r="BK54" s="35">
        <f t="shared" si="38"/>
        <v>4.9327360714542306E-3</v>
      </c>
      <c r="BL54" s="47">
        <f t="shared" si="39"/>
        <v>0.93808197731179532</v>
      </c>
      <c r="BM54" s="3"/>
      <c r="BN54" s="3"/>
    </row>
    <row r="55" spans="43:66" x14ac:dyDescent="0.2">
      <c r="BE55" s="1"/>
      <c r="BF55" s="1"/>
      <c r="BG55" s="6"/>
      <c r="BL55" s="14"/>
      <c r="BM55" s="3"/>
      <c r="BN55" s="3"/>
    </row>
    <row r="56" spans="43:66" ht="17" thickBot="1" x14ac:dyDescent="0.25">
      <c r="AQ56" s="1"/>
      <c r="AR56" s="1"/>
      <c r="AS56" s="1"/>
      <c r="BG56" s="74" t="s">
        <v>98</v>
      </c>
      <c r="BH56" s="32">
        <f>$B$6 - Calcs!AG70/15</f>
        <v>-4.9471712790863247</v>
      </c>
      <c r="BI56" s="33">
        <f>MOD(-180/PI()*ATAN2(-SIN(RADIANS($B$3))*COS(RADIANS(Calcs!AH70))*COS(RADIANS(15*BH56))+COS(RADIANS($B$3))*SIN(RADIANS(Calcs!AH70)),COS(RADIANS(Calcs!AH70))*SIN(RADIANS(15*BH56))),360)</f>
        <v>122.43827479186378</v>
      </c>
      <c r="BJ56" s="33">
        <f>180/PI()*ASIN(SIN(RADIANS($B$3))*SIN(RADIANS(Calcs!AH70))+COS(RADIANS($B$3))*COS(RADIANS(Calcs!AH70))*COS(RADIANS(15*BH56)))</f>
        <v>-3.4736746230736366</v>
      </c>
      <c r="BK56" s="48" t="e">
        <f>IF(BJ56&lt;0,NA(),(90-BJ56)/90*SIN(RADIANS(-BI56)))</f>
        <v>#N/A</v>
      </c>
      <c r="BL56" s="49" t="e">
        <f>IF(BJ56&lt;0,NA(),(90-BJ56)/90*COS(RADIANS(-BI56)))</f>
        <v>#N/A</v>
      </c>
      <c r="BM56" s="3"/>
    </row>
    <row r="57" spans="43:66" x14ac:dyDescent="0.2">
      <c r="AQ57" s="1"/>
      <c r="AR57" s="1"/>
      <c r="AS57" s="1"/>
    </row>
    <row r="58" spans="43:66" x14ac:dyDescent="0.2">
      <c r="AQ58" s="1"/>
      <c r="AR58" s="1"/>
      <c r="AS58" s="1"/>
    </row>
    <row r="59" spans="43:66" x14ac:dyDescent="0.2">
      <c r="AQ59" s="1"/>
      <c r="AR59" s="1"/>
      <c r="AS59" s="1"/>
    </row>
    <row r="60" spans="43:66" x14ac:dyDescent="0.2">
      <c r="AQ60" s="1"/>
      <c r="AR60" s="1"/>
      <c r="AS60" s="1"/>
    </row>
    <row r="61" spans="43:66" x14ac:dyDescent="0.2">
      <c r="AQ61" s="1"/>
      <c r="AR61" s="1"/>
      <c r="AS61" s="1"/>
    </row>
    <row r="62" spans="43:66" x14ac:dyDescent="0.2">
      <c r="AQ62" s="1"/>
      <c r="AR62" s="1"/>
      <c r="AS62" s="1"/>
    </row>
    <row r="64" spans="43:66" x14ac:dyDescent="0.2">
      <c r="AQ64" s="1"/>
      <c r="AR64" s="1"/>
      <c r="AS64" s="1"/>
      <c r="AT64" s="1"/>
    </row>
  </sheetData>
  <mergeCells count="13">
    <mergeCell ref="BQ42:BR42"/>
    <mergeCell ref="BQ44:BR44"/>
    <mergeCell ref="X1:AA1"/>
    <mergeCell ref="BG1:BK1"/>
    <mergeCell ref="A2:C2"/>
    <mergeCell ref="BH40:BK40"/>
    <mergeCell ref="BO40:BR40"/>
    <mergeCell ref="A11:C11"/>
    <mergeCell ref="BQ41:BR41"/>
    <mergeCell ref="AH2:AI2"/>
    <mergeCell ref="AF1:AH1"/>
    <mergeCell ref="AK1:AM1"/>
    <mergeCell ref="AQ1:AT1"/>
  </mergeCells>
  <phoneticPr fontId="1" type="noConversion"/>
  <conditionalFormatting sqref="Y5:Y24">
    <cfRule type="colorScale" priority="7">
      <colorScale>
        <cfvo type="num" val="1"/>
        <cfvo type="num" val="2"/>
        <cfvo type="num" val="3"/>
        <color theme="5" tint="0.59999389629810485"/>
        <color theme="7" tint="0.79998168889431442"/>
        <color theme="9" tint="0.39997558519241921"/>
      </colorScale>
    </cfRule>
  </conditionalFormatting>
  <conditionalFormatting sqref="Z5:Z24">
    <cfRule type="containsText" dxfId="1" priority="6" operator="containsText" text="Done">
      <formula>NOT(ISERROR(SEARCH("Done",Z5)))</formula>
    </cfRule>
  </conditionalFormatting>
  <conditionalFormatting sqref="AE4">
    <cfRule type="colorScale" priority="9">
      <colorScale>
        <cfvo type="num" val="0"/>
        <cfvo type="num" val="5"/>
        <color rgb="FFFCFCFF"/>
        <color rgb="FFFFC000"/>
      </colorScale>
    </cfRule>
  </conditionalFormatting>
  <conditionalFormatting sqref="AE5:AE24">
    <cfRule type="colorScale" priority="8">
      <colorScale>
        <cfvo type="num" val="-90"/>
        <cfvo type="num" val="30"/>
        <cfvo type="num" val="45"/>
        <color rgb="FFF8696B"/>
        <color rgb="FFFF8497"/>
        <color rgb="FFFCFCFF"/>
      </colorScale>
    </cfRule>
  </conditionalFormatting>
  <conditionalFormatting sqref="AF5:AF24">
    <cfRule type="expression" dxfId="0" priority="59">
      <formula>AN5&lt;-1*AD5</formula>
    </cfRule>
    <cfRule type="colorScale" priority="60">
      <colorScale>
        <cfvo type="num" val="0"/>
        <cfvo type="num" val="0"/>
        <cfvo type="num" val="1"/>
        <color rgb="FFF8696B"/>
        <color rgb="FFFFFF00"/>
        <color theme="0"/>
      </colorScale>
    </cfRule>
  </conditionalFormatting>
  <conditionalFormatting sqref="AG5:AG24">
    <cfRule type="colorScale" priority="3">
      <colorScale>
        <cfvo type="num" val="0"/>
        <cfvo type="num" val="45"/>
        <cfvo type="num" val="120"/>
        <color rgb="FFF8696B"/>
        <color rgb="FFFFA5AC"/>
        <color rgb="FFFCFCFF"/>
      </colorScale>
    </cfRule>
  </conditionalFormatting>
  <conditionalFormatting sqref="AH5:AH24">
    <cfRule type="colorScale" priority="2">
      <colorScale>
        <cfvo type="num" val="120"/>
        <cfvo type="num" val="350"/>
        <cfvo type="num" val="850"/>
        <color theme="0"/>
        <color rgb="FFFFB3C1"/>
        <color rgb="FFF8696B"/>
      </colorScale>
    </cfRule>
  </conditionalFormatting>
  <conditionalFormatting sqref="AI5:AI24">
    <cfRule type="colorScale" priority="1">
      <colorScale>
        <cfvo type="num" val="19"/>
        <cfvo type="num" val="20"/>
        <cfvo type="num" val="21.5"/>
        <color rgb="FFFF6B63"/>
        <color rgb="FFFFA5AC"/>
        <color theme="0"/>
      </colorScale>
    </cfRule>
  </conditionalFormatting>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9E1C-391C-F546-B817-7B4171B15F8A}">
  <dimension ref="A1:AE77"/>
  <sheetViews>
    <sheetView zoomScale="120" zoomScaleNormal="120" workbookViewId="0">
      <selection activeCell="B10" sqref="B10"/>
    </sheetView>
  </sheetViews>
  <sheetFormatPr baseColWidth="10" defaultRowHeight="16" x14ac:dyDescent="0.2"/>
  <cols>
    <col min="1" max="1" width="8.6640625" customWidth="1"/>
    <col min="2" max="2" width="7" customWidth="1"/>
    <col min="3" max="3" width="8" customWidth="1"/>
    <col min="17" max="17" width="7.83203125" style="1" customWidth="1"/>
    <col min="18" max="18" width="8.1640625" style="1" customWidth="1"/>
    <col min="19" max="20" width="7" style="1" customWidth="1"/>
    <col min="21" max="21" width="7.83203125" customWidth="1"/>
    <col min="22" max="22" width="7.5" customWidth="1"/>
    <col min="23" max="23" width="7.1640625" customWidth="1"/>
    <col min="24" max="24" width="8.1640625" customWidth="1"/>
    <col min="25" max="25" width="6.83203125" customWidth="1"/>
    <col min="26" max="26" width="7.83203125" customWidth="1"/>
    <col min="28" max="28" width="6" customWidth="1"/>
    <col min="29" max="29" width="9" customWidth="1"/>
    <col min="30" max="30" width="6.6640625" customWidth="1"/>
    <col min="31" max="31" width="12.6640625" customWidth="1"/>
  </cols>
  <sheetData>
    <row r="1" spans="1:31" ht="17" thickBot="1" x14ac:dyDescent="0.25">
      <c r="T1" s="307" t="s">
        <v>278</v>
      </c>
      <c r="U1" s="308"/>
      <c r="V1" s="308"/>
      <c r="W1" s="309"/>
      <c r="AB1" s="291" t="s">
        <v>277</v>
      </c>
      <c r="AC1" s="292"/>
      <c r="AD1" s="292"/>
      <c r="AE1" s="293"/>
    </row>
    <row r="2" spans="1:31" x14ac:dyDescent="0.2">
      <c r="A2" s="337" t="s">
        <v>283</v>
      </c>
      <c r="B2" s="338"/>
      <c r="C2" s="339"/>
      <c r="Q2" s="259" t="s">
        <v>287</v>
      </c>
      <c r="R2" s="69" t="s">
        <v>2</v>
      </c>
      <c r="S2" s="70" t="s">
        <v>2</v>
      </c>
      <c r="T2" s="71" t="s">
        <v>1</v>
      </c>
      <c r="U2" s="200" t="s">
        <v>2</v>
      </c>
      <c r="V2" s="70" t="s">
        <v>2</v>
      </c>
      <c r="W2" s="176" t="s">
        <v>1</v>
      </c>
      <c r="X2" s="69" t="s">
        <v>2</v>
      </c>
      <c r="Y2" s="70" t="s">
        <v>2</v>
      </c>
      <c r="Z2" s="71" t="s">
        <v>1</v>
      </c>
      <c r="AB2" s="209" t="s">
        <v>286</v>
      </c>
      <c r="AC2" s="70" t="s">
        <v>2</v>
      </c>
      <c r="AD2" s="70" t="s">
        <v>1</v>
      </c>
      <c r="AE2" s="71" t="s">
        <v>30</v>
      </c>
    </row>
    <row r="3" spans="1:31" ht="17" thickBot="1" x14ac:dyDescent="0.25">
      <c r="A3" s="8" t="s">
        <v>264</v>
      </c>
      <c r="B3" s="264">
        <v>7.3</v>
      </c>
      <c r="C3" s="15" t="s">
        <v>124</v>
      </c>
      <c r="Q3" s="260" t="s">
        <v>4</v>
      </c>
      <c r="R3" s="77" t="s">
        <v>3</v>
      </c>
      <c r="S3" s="60" t="s">
        <v>271</v>
      </c>
      <c r="T3" s="177" t="s">
        <v>4</v>
      </c>
      <c r="U3" s="62" t="s">
        <v>3</v>
      </c>
      <c r="V3" s="60" t="s">
        <v>271</v>
      </c>
      <c r="W3" s="208" t="s">
        <v>4</v>
      </c>
      <c r="X3" s="77" t="s">
        <v>3</v>
      </c>
      <c r="Y3" s="60" t="s">
        <v>271</v>
      </c>
      <c r="Z3" s="177" t="s">
        <v>4</v>
      </c>
      <c r="AB3" s="77" t="s">
        <v>17</v>
      </c>
      <c r="AC3" s="60" t="s">
        <v>122</v>
      </c>
      <c r="AD3" s="60" t="s">
        <v>4</v>
      </c>
      <c r="AE3" s="177"/>
    </row>
    <row r="4" spans="1:31" x14ac:dyDescent="0.2">
      <c r="Q4" s="24"/>
      <c r="R4" s="340" t="s">
        <v>273</v>
      </c>
      <c r="S4" s="341"/>
      <c r="T4" s="342"/>
      <c r="U4" s="328" t="s">
        <v>274</v>
      </c>
      <c r="V4" s="329"/>
      <c r="W4" s="330"/>
      <c r="X4" s="331" t="s">
        <v>275</v>
      </c>
      <c r="Y4" s="332"/>
      <c r="Z4" s="333"/>
      <c r="AB4" s="24">
        <v>1</v>
      </c>
      <c r="AC4" s="35" t="e">
        <f>IF($B$9=1,MODS!AV5,IF($B$9=2,LUCI!AV5,IF($B$9=3,LBC!AV5,IF($B$9=4,PEPSI!AV5,NA()))))</f>
        <v>#N/A</v>
      </c>
      <c r="AD4" s="35" t="e">
        <f>IF($B$9=1,MODS!AW5,IF($B$9=2,LUCI!AW5,IF($B$9=3,LBC!AW5,IF($B$9=4,PEPSI!AW5,NA()))))</f>
        <v>#N/A</v>
      </c>
      <c r="AE4" s="25" t="e">
        <f>IF($B$9=1,MODS!W5,IF($B$9=2,LUCI!W5,IF($B$9=3,LBC!W5,IF($B$9=4,PEPSI!W5,NA()))))</f>
        <v>#N/A</v>
      </c>
    </row>
    <row r="5" spans="1:31" ht="17" thickBot="1" x14ac:dyDescent="0.25">
      <c r="Q5" s="24">
        <v>0</v>
      </c>
      <c r="R5" s="50">
        <f t="shared" ref="R5:R36" si="0">(1/15)*MOD($B$19+180/PI()*ATAN2(_xlfn.COT(RADIANS($B$23))*COS(RADIANS($B$20)) - SIN(RADIANS($B$20))*COS(RADIANS(Q5)),SIN(RADIANS(Q5))),360)</f>
        <v>10.646162054247005</v>
      </c>
      <c r="S5" s="35">
        <f>R5</f>
        <v>10.646162054247005</v>
      </c>
      <c r="T5" s="212">
        <f t="shared" ref="T5:T36" si="1">180/PI()*ASIN(SIN(RADIANS($B$20))*COS(RADIANS($B$23)) +  COS(RADIANS($B$20))*SIN(RADIANS($B$23))*COS(RADIANS(Q5)))</f>
        <v>62.7</v>
      </c>
      <c r="U5" s="35">
        <f t="shared" ref="U5:U36" si="2">(1/15)*MOD($B$19+180/PI()*ATAN2(_xlfn.COT(RADIANS($B$24))*COS(RADIANS($B$20)) - SIN(RADIANS($B$20))*COS(RADIANS(Q5)),SIN(RADIANS(Q5))),360)</f>
        <v>22.646162054247004</v>
      </c>
      <c r="V5" s="35">
        <f>U5</f>
        <v>22.646162054247004</v>
      </c>
      <c r="W5" s="65">
        <f t="shared" ref="W5:W36" si="3">180/PI()*ASIN(SIN(RADIANS($B$20))*COS(RADIANS($B$24)) +  COS(RADIANS($B$20))*SIN(RADIANS($B$24))*COS(RADIANS(Q5)))</f>
        <v>87.300000000000054</v>
      </c>
      <c r="X5" s="50">
        <f t="shared" ref="X5:X36" si="4">(1/15)*MOD($B$19+180/PI()*ATAN2(_xlfn.COT(RADIANS($B$25))*COS(RADIANS($B$20)) - SIN(RADIANS($B$20))*COS(RADIANS(Q5)),SIN(RADIANS(Q5))),360)</f>
        <v>22.646162054247004</v>
      </c>
      <c r="Y5" s="35">
        <f>X5</f>
        <v>22.646162054247004</v>
      </c>
      <c r="Z5" s="212">
        <f t="shared" ref="Z5:Z36" si="5">180/PI()*ASIN(SIN(RADIANS($B$20))*COS(RADIANS($B$25)) +  COS(RADIANS($B$20))*SIN(RADIANS($B$25))*COS(RADIANS(Q5)))</f>
        <v>57.3</v>
      </c>
      <c r="AB5" s="24">
        <f t="shared" ref="AB5:AB23" si="6">AB4+1</f>
        <v>2</v>
      </c>
      <c r="AC5" s="35" t="e">
        <f>IF($B$9=1,MODS!AV6,IF($B$9=2,LUCI!AV6,IF($B$9=3,LBC!AV6,IF($B$9=4,PEPSI!AV6,NA()))))</f>
        <v>#N/A</v>
      </c>
      <c r="AD5" s="35" t="e">
        <f>IF($B$9=1,MODS!AW6,IF($B$9=2,LUCI!AW6,IF($B$9=3,LBC!AW6,IF($B$9=4,PEPSI!AW6,NA()))))</f>
        <v>#N/A</v>
      </c>
      <c r="AE5" s="25" t="e">
        <f>IF($B$9=1,MODS!W6,IF($B$9=2,LUCI!W6,IF($B$9=3,LBC!W6,IF($B$9=4,PEPSI!W6,NA()))))</f>
        <v>#N/A</v>
      </c>
    </row>
    <row r="6" spans="1:31" x14ac:dyDescent="0.2">
      <c r="A6" s="337" t="s">
        <v>284</v>
      </c>
      <c r="B6" s="338"/>
      <c r="C6" s="339"/>
      <c r="Q6" s="24">
        <f>Q5+5</f>
        <v>5</v>
      </c>
      <c r="R6" s="50">
        <f t="shared" si="0"/>
        <v>11.007196133075549</v>
      </c>
      <c r="S6" s="35">
        <f>IF(ABS(R6-R5)&lt;2,R6,NA())</f>
        <v>11.007196133075549</v>
      </c>
      <c r="T6" s="212">
        <f t="shared" si="1"/>
        <v>62.500657429065804</v>
      </c>
      <c r="U6" s="35">
        <f t="shared" si="2"/>
        <v>18.711850082705272</v>
      </c>
      <c r="V6" s="35">
        <f>IF(ABS(U6-U5)&lt;20,U6,NA())</f>
        <v>18.711850082705272</v>
      </c>
      <c r="W6" s="65">
        <f t="shared" si="3"/>
        <v>84.948975016583219</v>
      </c>
      <c r="X6" s="50">
        <f t="shared" si="4"/>
        <v>22.032905715212237</v>
      </c>
      <c r="Y6" s="35">
        <f>IF(ABS(X6-X5)&lt;10,X6,NA())</f>
        <v>22.032905715212237</v>
      </c>
      <c r="Z6" s="212">
        <f t="shared" si="5"/>
        <v>56.961938429456659</v>
      </c>
      <c r="AB6" s="24">
        <f t="shared" si="6"/>
        <v>3</v>
      </c>
      <c r="AC6" s="35" t="e">
        <f>IF($B$9=1,MODS!AV7,IF($B$9=2,LUCI!AV7,IF($B$9=3,LBC!AV7,IF($B$9=4,PEPSI!AV7,NA()))))</f>
        <v>#N/A</v>
      </c>
      <c r="AD6" s="35" t="e">
        <f>IF($B$9=1,MODS!AW7,IF($B$9=2,LUCI!AW7,IF($B$9=3,LBC!AW7,IF($B$9=4,PEPSI!AW7,NA()))))</f>
        <v>#N/A</v>
      </c>
      <c r="AE6" s="25" t="e">
        <f>IF($B$9=1,MODS!W7,IF($B$9=2,LUCI!W7,IF($B$9=3,LBC!W7,IF($B$9=4,PEPSI!W7,NA()))))</f>
        <v>#N/A</v>
      </c>
    </row>
    <row r="7" spans="1:31" x14ac:dyDescent="0.2">
      <c r="A7" s="6" t="s">
        <v>279</v>
      </c>
      <c r="C7" s="14"/>
      <c r="Q7" s="24">
        <f t="shared" ref="Q7:Q70" si="7">Q6+5</f>
        <v>10</v>
      </c>
      <c r="R7" s="50">
        <f t="shared" si="0"/>
        <v>11.354600338532865</v>
      </c>
      <c r="S7" s="35">
        <f t="shared" ref="S7:S70" si="8">IF(ABS(R7-R6)&lt;2,R7,NA())</f>
        <v>11.354600338532865</v>
      </c>
      <c r="T7" s="212">
        <f t="shared" si="1"/>
        <v>61.911941304031465</v>
      </c>
      <c r="U7" s="35">
        <f t="shared" si="2"/>
        <v>17.639129147504512</v>
      </c>
      <c r="V7" s="35">
        <f t="shared" ref="V7:V70" si="9">IF(ABS(U7-U6)&lt;20,U7,NA())</f>
        <v>17.639129147504512</v>
      </c>
      <c r="W7" s="65">
        <f t="shared" si="3"/>
        <v>81.047697060490719</v>
      </c>
      <c r="X7" s="50">
        <f t="shared" si="4"/>
        <v>21.441097545732667</v>
      </c>
      <c r="Y7" s="35">
        <f t="shared" ref="Y7:Y70" si="10">IF(ABS(X7-X6)&lt;10,X7,NA())</f>
        <v>21.441097545732667</v>
      </c>
      <c r="Z7" s="212">
        <f t="shared" si="5"/>
        <v>55.968124005763983</v>
      </c>
      <c r="AB7" s="24">
        <f t="shared" si="6"/>
        <v>4</v>
      </c>
      <c r="AC7" s="35" t="e">
        <f>IF($B$9=1,MODS!AV8,IF($B$9=2,LUCI!AV8,IF($B$9=3,LBC!AV8,IF($B$9=4,PEPSI!AV8,NA()))))</f>
        <v>#N/A</v>
      </c>
      <c r="AD7" s="35" t="e">
        <f>IF($B$9=1,MODS!AW8,IF($B$9=2,LUCI!AW8,IF($B$9=3,LBC!AW8,IF($B$9=4,PEPSI!AW8,NA()))))</f>
        <v>#N/A</v>
      </c>
      <c r="AE7" s="25" t="e">
        <f>IF($B$9=1,MODS!W8,IF($B$9=2,LUCI!W8,IF($B$9=3,LBC!W8,IF($B$9=4,PEPSI!W8,NA()))))</f>
        <v>#N/A</v>
      </c>
    </row>
    <row r="8" spans="1:31" x14ac:dyDescent="0.2">
      <c r="A8" s="6" t="s">
        <v>280</v>
      </c>
      <c r="C8" s="14"/>
      <c r="Q8" s="24">
        <f t="shared" si="7"/>
        <v>15</v>
      </c>
      <c r="R8" s="50">
        <f t="shared" si="0"/>
        <v>11.676934071930416</v>
      </c>
      <c r="S8" s="35">
        <f t="shared" si="8"/>
        <v>11.676934071930416</v>
      </c>
      <c r="T8" s="212">
        <f t="shared" si="1"/>
        <v>60.959918239616364</v>
      </c>
      <c r="U8" s="35">
        <f t="shared" si="2"/>
        <v>17.173863834941056</v>
      </c>
      <c r="V8" s="35">
        <f t="shared" si="9"/>
        <v>17.173863834941056</v>
      </c>
      <c r="W8" s="65">
        <f t="shared" si="3"/>
        <v>76.920664578059146</v>
      </c>
      <c r="X8" s="50">
        <f t="shared" si="4"/>
        <v>20.887458070004715</v>
      </c>
      <c r="Y8" s="35">
        <f t="shared" si="10"/>
        <v>20.887458070004715</v>
      </c>
      <c r="Z8" s="212">
        <f t="shared" si="5"/>
        <v>54.374047122650516</v>
      </c>
      <c r="AB8" s="24">
        <f t="shared" si="6"/>
        <v>5</v>
      </c>
      <c r="AC8" s="35" t="e">
        <f>IF($B$9=1,MODS!AV9,IF($B$9=2,LUCI!AV9,IF($B$9=3,LBC!AV9,IF($B$9=4,PEPSI!AV9,NA()))))</f>
        <v>#N/A</v>
      </c>
      <c r="AD8" s="35" t="e">
        <f>IF($B$9=1,MODS!AW9,IF($B$9=2,LUCI!AW9,IF($B$9=3,LBC!AW9,IF($B$9=4,PEPSI!AW9,NA()))))</f>
        <v>#N/A</v>
      </c>
      <c r="AE8" s="25" t="e">
        <f>IF($B$9=1,MODS!W9,IF($B$9=2,LUCI!W9,IF($B$9=3,LBC!W9,IF($B$9=4,PEPSI!W9,NA()))))</f>
        <v>#N/A</v>
      </c>
    </row>
    <row r="9" spans="1:31" ht="17" thickBot="1" x14ac:dyDescent="0.25">
      <c r="A9" s="8" t="s">
        <v>276</v>
      </c>
      <c r="B9" s="214">
        <v>0</v>
      </c>
      <c r="C9" s="15" t="s">
        <v>17</v>
      </c>
      <c r="Q9" s="24">
        <f t="shared" si="7"/>
        <v>20</v>
      </c>
      <c r="R9" s="50">
        <f t="shared" si="0"/>
        <v>11.966313165301653</v>
      </c>
      <c r="S9" s="35">
        <f t="shared" si="8"/>
        <v>11.966313165301653</v>
      </c>
      <c r="T9" s="212">
        <f t="shared" si="1"/>
        <v>59.682632413026376</v>
      </c>
      <c r="U9" s="35">
        <f t="shared" si="2"/>
        <v>16.889446622583389</v>
      </c>
      <c r="V9" s="35">
        <f t="shared" si="9"/>
        <v>16.889446622583389</v>
      </c>
      <c r="W9" s="65">
        <f t="shared" si="3"/>
        <v>72.734499251122429</v>
      </c>
      <c r="X9" s="50">
        <f t="shared" si="4"/>
        <v>20.3815685490164</v>
      </c>
      <c r="Y9" s="35">
        <f t="shared" si="10"/>
        <v>20.3815685490164</v>
      </c>
      <c r="Z9" s="212">
        <f t="shared" si="5"/>
        <v>52.256729285981812</v>
      </c>
      <c r="AB9" s="24">
        <f t="shared" si="6"/>
        <v>6</v>
      </c>
      <c r="AC9" s="35" t="e">
        <f>IF($B$9=1,MODS!AV10,IF($B$9=2,LUCI!AV10,IF($B$9=3,LBC!AV10,IF($B$9=4,PEPSI!AV10,NA()))))</f>
        <v>#N/A</v>
      </c>
      <c r="AD9" s="35" t="e">
        <f>IF($B$9=1,MODS!AW10,IF($B$9=2,LUCI!AW10,IF($B$9=3,LBC!AW10,IF($B$9=4,PEPSI!AW10,NA()))))</f>
        <v>#N/A</v>
      </c>
      <c r="AE9" s="25" t="e">
        <f>IF($B$9=1,MODS!W10,IF($B$9=2,LUCI!W10,IF($B$9=3,LBC!W10,IF($B$9=4,PEPSI!W10,NA()))))</f>
        <v>#N/A</v>
      </c>
    </row>
    <row r="10" spans="1:31" x14ac:dyDescent="0.2">
      <c r="Q10" s="24">
        <f t="shared" si="7"/>
        <v>25</v>
      </c>
      <c r="R10" s="50">
        <f t="shared" si="0"/>
        <v>12.218654963640899</v>
      </c>
      <c r="S10" s="35">
        <f t="shared" si="8"/>
        <v>12.218654963640899</v>
      </c>
      <c r="T10" s="212">
        <f t="shared" si="1"/>
        <v>58.124299898133501</v>
      </c>
      <c r="U10" s="35">
        <f t="shared" si="2"/>
        <v>16.680303334039063</v>
      </c>
      <c r="V10" s="35">
        <f t="shared" si="9"/>
        <v>16.680303334039063</v>
      </c>
      <c r="W10" s="65">
        <f t="shared" si="3"/>
        <v>68.530076332357268</v>
      </c>
      <c r="X10" s="50">
        <f t="shared" si="4"/>
        <v>19.926223953337558</v>
      </c>
      <c r="Y10" s="35">
        <f t="shared" si="10"/>
        <v>19.926223953337558</v>
      </c>
      <c r="Z10" s="212">
        <f t="shared" si="5"/>
        <v>49.699950822730514</v>
      </c>
      <c r="AB10" s="24">
        <f t="shared" si="6"/>
        <v>7</v>
      </c>
      <c r="AC10" s="35" t="e">
        <f>IF($B$9=1,MODS!AV11,IF($B$9=2,LUCI!AV11,IF($B$9=3,LBC!AV11,IF($B$9=4,PEPSI!AV11,NA()))))</f>
        <v>#N/A</v>
      </c>
      <c r="AD10" s="35" t="e">
        <f>IF($B$9=1,MODS!AW11,IF($B$9=2,LUCI!AW11,IF($B$9=3,LBC!AW11,IF($B$9=4,PEPSI!AW11,NA()))))</f>
        <v>#N/A</v>
      </c>
      <c r="AE10" s="25" t="e">
        <f>IF($B$9=1,MODS!W11,IF($B$9=2,LUCI!W11,IF($B$9=3,LBC!W11,IF($B$9=4,PEPSI!W11,NA()))))</f>
        <v>#N/A</v>
      </c>
    </row>
    <row r="11" spans="1:31" x14ac:dyDescent="0.2">
      <c r="Q11" s="24">
        <f t="shared" si="7"/>
        <v>30</v>
      </c>
      <c r="R11" s="50">
        <f t="shared" si="0"/>
        <v>12.433068182592203</v>
      </c>
      <c r="S11" s="35">
        <f t="shared" si="8"/>
        <v>12.433068182592203</v>
      </c>
      <c r="T11" s="212">
        <f t="shared" si="1"/>
        <v>56.330224788620711</v>
      </c>
      <c r="U11" s="35">
        <f t="shared" si="2"/>
        <v>16.508828771212801</v>
      </c>
      <c r="V11" s="35">
        <f t="shared" si="9"/>
        <v>16.508828771212801</v>
      </c>
      <c r="W11" s="65">
        <f t="shared" si="3"/>
        <v>64.323293036646021</v>
      </c>
      <c r="X11" s="50">
        <f t="shared" si="4"/>
        <v>19.519373674854123</v>
      </c>
      <c r="Y11" s="35">
        <f t="shared" si="10"/>
        <v>19.519373674854123</v>
      </c>
      <c r="Z11" s="212">
        <f t="shared" si="5"/>
        <v>46.78335381826129</v>
      </c>
      <c r="AB11" s="24">
        <f t="shared" si="6"/>
        <v>8</v>
      </c>
      <c r="AC11" s="35" t="e">
        <f>IF($B$9=1,MODS!AV12,IF($B$9=2,LUCI!AV12,IF($B$9=3,LBC!AV12,IF($B$9=4,PEPSI!AV12,NA()))))</f>
        <v>#N/A</v>
      </c>
      <c r="AD11" s="35" t="e">
        <f>IF($B$9=1,MODS!AW12,IF($B$9=2,LUCI!AW12,IF($B$9=3,LBC!AW12,IF($B$9=4,PEPSI!AW12,NA()))))</f>
        <v>#N/A</v>
      </c>
      <c r="AE11" s="25" t="e">
        <f>IF($B$9=1,MODS!W12,IF($B$9=2,LUCI!W12,IF($B$9=3,LBC!W12,IF($B$9=4,PEPSI!W12,NA()))))</f>
        <v>#N/A</v>
      </c>
    </row>
    <row r="12" spans="1:31" ht="17" thickBot="1" x14ac:dyDescent="0.25">
      <c r="Q12" s="24">
        <f t="shared" si="7"/>
        <v>35</v>
      </c>
      <c r="R12" s="50">
        <f t="shared" si="0"/>
        <v>12.610880535946389</v>
      </c>
      <c r="S12" s="35">
        <f t="shared" si="8"/>
        <v>12.610880535946389</v>
      </c>
      <c r="T12" s="212">
        <f t="shared" si="1"/>
        <v>54.3433184012396</v>
      </c>
      <c r="U12" s="35">
        <f t="shared" si="2"/>
        <v>16.358302888124175</v>
      </c>
      <c r="V12" s="35">
        <f t="shared" si="9"/>
        <v>16.358302888124175</v>
      </c>
      <c r="W12" s="65">
        <f t="shared" si="3"/>
        <v>60.122606288671214</v>
      </c>
      <c r="X12" s="50">
        <f t="shared" si="4"/>
        <v>19.156277759685992</v>
      </c>
      <c r="Y12" s="35">
        <f t="shared" si="10"/>
        <v>19.156277759685992</v>
      </c>
      <c r="Z12" s="212">
        <f t="shared" si="5"/>
        <v>43.576722427269502</v>
      </c>
      <c r="AB12" s="24">
        <f t="shared" si="6"/>
        <v>9</v>
      </c>
      <c r="AC12" s="35" t="e">
        <f>IF($B$9=1,MODS!AV13,IF($B$9=2,LUCI!AV13,IF($B$9=3,LBC!AV13,IF($B$9=4,PEPSI!AV13,NA()))))</f>
        <v>#N/A</v>
      </c>
      <c r="AD12" s="35" t="e">
        <f>IF($B$9=1,MODS!AW13,IF($B$9=2,LUCI!AW13,IF($B$9=3,LBC!AW13,IF($B$9=4,PEPSI!AW13,NA()))))</f>
        <v>#N/A</v>
      </c>
      <c r="AE12" s="25" t="e">
        <f>IF($B$9=1,MODS!W13,IF($B$9=2,LUCI!W13,IF($B$9=3,LBC!W13,IF($B$9=4,PEPSI!W13,NA()))))</f>
        <v>#N/A</v>
      </c>
    </row>
    <row r="13" spans="1:31" x14ac:dyDescent="0.2">
      <c r="A13" s="334" t="s">
        <v>285</v>
      </c>
      <c r="B13" s="335"/>
      <c r="C13" s="336"/>
      <c r="Q13" s="24">
        <f t="shared" si="7"/>
        <v>40</v>
      </c>
      <c r="R13" s="50">
        <f t="shared" si="0"/>
        <v>12.754698365417369</v>
      </c>
      <c r="S13" s="35">
        <f t="shared" si="8"/>
        <v>12.754698365417369</v>
      </c>
      <c r="T13" s="212">
        <f t="shared" si="1"/>
        <v>52.202258439900284</v>
      </c>
      <c r="U13" s="35">
        <f t="shared" si="2"/>
        <v>16.220092830114414</v>
      </c>
      <c r="V13" s="35">
        <f t="shared" si="9"/>
        <v>16.220092830114414</v>
      </c>
      <c r="W13" s="65">
        <f t="shared" si="3"/>
        <v>55.933720945025684</v>
      </c>
      <c r="X13" s="50">
        <f t="shared" si="4"/>
        <v>18.831147736208603</v>
      </c>
      <c r="Y13" s="35">
        <f t="shared" si="10"/>
        <v>18.831147736208603</v>
      </c>
      <c r="Z13" s="212">
        <f t="shared" si="5"/>
        <v>40.138288931701339</v>
      </c>
      <c r="AB13" s="24">
        <f t="shared" si="6"/>
        <v>10</v>
      </c>
      <c r="AC13" s="35" t="e">
        <f>IF($B$9=1,MODS!AV14,IF($B$9=2,LUCI!AV14,IF($B$9=3,LBC!AV14,IF($B$9=4,PEPSI!AV14,NA()))))</f>
        <v>#N/A</v>
      </c>
      <c r="AD13" s="35" t="e">
        <f>IF($B$9=1,MODS!AW14,IF($B$9=2,LUCI!AW14,IF($B$9=3,LBC!AW14,IF($B$9=4,PEPSI!AW14,NA()))))</f>
        <v>#N/A</v>
      </c>
      <c r="AE13" s="25" t="e">
        <f>IF($B$9=1,MODS!W14,IF($B$9=2,LUCI!W14,IF($B$9=3,LBC!W14,IF($B$9=4,PEPSI!W14,NA()))))</f>
        <v>#N/A</v>
      </c>
    </row>
    <row r="14" spans="1:31" x14ac:dyDescent="0.2">
      <c r="A14" s="6" t="s">
        <v>10</v>
      </c>
      <c r="B14" s="16">
        <f>INT(B3) + 100*MOD(B3,1)/60</f>
        <v>7.5</v>
      </c>
      <c r="C14" s="14" t="s">
        <v>122</v>
      </c>
      <c r="Q14" s="24">
        <f t="shared" si="7"/>
        <v>45</v>
      </c>
      <c r="R14" s="50">
        <f t="shared" si="0"/>
        <v>12.867686000146966</v>
      </c>
      <c r="S14" s="35">
        <f t="shared" si="8"/>
        <v>12.867686000146966</v>
      </c>
      <c r="T14" s="212">
        <f t="shared" si="1"/>
        <v>49.940884409088838</v>
      </c>
      <c r="U14" s="35">
        <f t="shared" si="2"/>
        <v>16.089215767890124</v>
      </c>
      <c r="V14" s="35">
        <f t="shared" si="9"/>
        <v>16.089215767890124</v>
      </c>
      <c r="W14" s="65">
        <f t="shared" si="3"/>
        <v>51.761221570436625</v>
      </c>
      <c r="X14" s="50">
        <f t="shared" si="4"/>
        <v>18.53814244848714</v>
      </c>
      <c r="Y14" s="35">
        <f t="shared" si="10"/>
        <v>18.53814244848714</v>
      </c>
      <c r="Z14" s="212">
        <f t="shared" si="5"/>
        <v>36.515339679802814</v>
      </c>
      <c r="AB14" s="24">
        <f t="shared" si="6"/>
        <v>11</v>
      </c>
      <c r="AC14" s="35" t="e">
        <f>IF($B$9=1,MODS!AV15,IF($B$9=2,LUCI!AV15,IF($B$9=3,LBC!AV15,IF($B$9=4,PEPSI!AV15,NA()))))</f>
        <v>#N/A</v>
      </c>
      <c r="AD14" s="35" t="e">
        <f>IF($B$9=1,MODS!AW15,IF($B$9=2,LUCI!AW15,IF($B$9=3,LBC!AW15,IF($B$9=4,PEPSI!AW15,NA()))))</f>
        <v>#N/A</v>
      </c>
      <c r="AE14" s="25" t="e">
        <f>IF($B$9=1,MODS!W15,IF($B$9=2,LUCI!W15,IF($B$9=3,LBC!W15,IF($B$9=4,PEPSI!W15,NA()))))</f>
        <v>#N/A</v>
      </c>
    </row>
    <row r="15" spans="1:31" x14ac:dyDescent="0.2">
      <c r="A15" s="6" t="s">
        <v>265</v>
      </c>
      <c r="B15" s="16">
        <f>Calcs!B23</f>
        <v>3.1461620542470055</v>
      </c>
      <c r="C15" s="14" t="s">
        <v>122</v>
      </c>
      <c r="Q15" s="24">
        <f t="shared" si="7"/>
        <v>50</v>
      </c>
      <c r="R15" s="50">
        <f t="shared" si="0"/>
        <v>12.953094022473078</v>
      </c>
      <c r="S15" s="35">
        <f t="shared" si="8"/>
        <v>12.953094022473078</v>
      </c>
      <c r="T15" s="212">
        <f t="shared" si="1"/>
        <v>47.588347861733126</v>
      </c>
      <c r="U15" s="35">
        <f t="shared" si="2"/>
        <v>15.962523129968773</v>
      </c>
      <c r="V15" s="35">
        <f t="shared" si="9"/>
        <v>15.962523129968773</v>
      </c>
      <c r="W15" s="65">
        <f t="shared" si="3"/>
        <v>47.609259416831584</v>
      </c>
      <c r="X15" s="50">
        <f t="shared" si="4"/>
        <v>18.271863474733596</v>
      </c>
      <c r="Y15" s="35">
        <f t="shared" si="10"/>
        <v>18.271863474733596</v>
      </c>
      <c r="Z15" s="212">
        <f t="shared" si="5"/>
        <v>32.745792201221839</v>
      </c>
      <c r="AB15" s="24">
        <f t="shared" si="6"/>
        <v>12</v>
      </c>
      <c r="AC15" s="35" t="e">
        <f>IF($B$9=1,MODS!AV16,IF($B$9=2,LUCI!AV16,IF($B$9=3,LBC!AV16,IF($B$9=4,PEPSI!AV16,NA()))))</f>
        <v>#N/A</v>
      </c>
      <c r="AD15" s="35" t="e">
        <f>IF($B$9=1,MODS!AW16,IF($B$9=2,LUCI!AW16,IF($B$9=3,LBC!AW16,IF($B$9=4,PEPSI!AW16,NA()))))</f>
        <v>#N/A</v>
      </c>
      <c r="AE15" s="25" t="e">
        <f>IF($B$9=1,MODS!W16,IF($B$9=2,LUCI!W16,IF($B$9=3,LBC!W16,IF($B$9=4,PEPSI!W16,NA()))))</f>
        <v>#N/A</v>
      </c>
    </row>
    <row r="16" spans="1:31" x14ac:dyDescent="0.2">
      <c r="A16" s="6" t="s">
        <v>263</v>
      </c>
      <c r="B16">
        <f>Calcs!B3</f>
        <v>32.700000000000003</v>
      </c>
      <c r="C16" s="14" t="s">
        <v>4</v>
      </c>
      <c r="Q16" s="24">
        <f t="shared" si="7"/>
        <v>55</v>
      </c>
      <c r="R16" s="50">
        <f t="shared" si="0"/>
        <v>13.013990464837768</v>
      </c>
      <c r="S16" s="35">
        <f t="shared" si="8"/>
        <v>13.013990464837768</v>
      </c>
      <c r="T16" s="212">
        <f t="shared" si="1"/>
        <v>45.169636377788919</v>
      </c>
      <c r="U16" s="35">
        <f t="shared" si="2"/>
        <v>15.8378621848157</v>
      </c>
      <c r="V16" s="35">
        <f t="shared" si="9"/>
        <v>15.8378621848157</v>
      </c>
      <c r="W16" s="65">
        <f t="shared" si="3"/>
        <v>43.481892409705488</v>
      </c>
      <c r="X16" s="50">
        <f t="shared" si="4"/>
        <v>18.02753840476062</v>
      </c>
      <c r="Y16" s="35">
        <f t="shared" si="10"/>
        <v>18.02753840476062</v>
      </c>
      <c r="Z16" s="212">
        <f t="shared" si="5"/>
        <v>28.859979030410841</v>
      </c>
      <c r="AB16" s="24">
        <f t="shared" si="6"/>
        <v>13</v>
      </c>
      <c r="AC16" s="35" t="e">
        <f>IF($B$9=1,MODS!AV17,IF($B$9=2,LUCI!AV17,IF($B$9=3,LBC!AV17,IF($B$9=4,PEPSI!AV17,NA()))))</f>
        <v>#N/A</v>
      </c>
      <c r="AD16" s="35" t="e">
        <f>IF($B$9=1,MODS!AW17,IF($B$9=2,LUCI!AW17,IF($B$9=3,LBC!AW17,IF($B$9=4,PEPSI!AW17,NA()))))</f>
        <v>#N/A</v>
      </c>
      <c r="AE16" s="25" t="e">
        <f>IF($B$9=1,MODS!W17,IF($B$9=2,LUCI!W17,IF($B$9=3,LBC!W17,IF($B$9=4,PEPSI!W17,NA()))))</f>
        <v>#N/A</v>
      </c>
    </row>
    <row r="17" spans="1:31" x14ac:dyDescent="0.2">
      <c r="A17" s="6"/>
      <c r="C17" s="14"/>
      <c r="Q17" s="24">
        <f t="shared" si="7"/>
        <v>60</v>
      </c>
      <c r="R17" s="50">
        <f t="shared" si="0"/>
        <v>13.053131914712466</v>
      </c>
      <c r="S17" s="35">
        <f t="shared" si="8"/>
        <v>13.053131914712466</v>
      </c>
      <c r="T17" s="212">
        <f t="shared" si="1"/>
        <v>42.706226966718795</v>
      </c>
      <c r="U17" s="35">
        <f t="shared" si="2"/>
        <v>15.713651241563824</v>
      </c>
      <c r="V17" s="35">
        <f t="shared" si="9"/>
        <v>15.713651241563824</v>
      </c>
      <c r="W17" s="65">
        <f t="shared" si="3"/>
        <v>39.383282208993904</v>
      </c>
      <c r="X17" s="50">
        <f t="shared" si="4"/>
        <v>17.801036222999215</v>
      </c>
      <c r="Y17" s="35">
        <f t="shared" si="10"/>
        <v>17.801036222999215</v>
      </c>
      <c r="Z17" s="212">
        <f t="shared" si="5"/>
        <v>24.882287665203343</v>
      </c>
      <c r="AB17" s="24">
        <f t="shared" si="6"/>
        <v>14</v>
      </c>
      <c r="AC17" s="35" t="e">
        <f>IF($B$9=1,MODS!AV18,IF($B$9=2,LUCI!AV18,IF($B$9=3,LBC!AV18,IF($B$9=4,PEPSI!AV18,NA()))))</f>
        <v>#N/A</v>
      </c>
      <c r="AD17" s="35" t="e">
        <f>IF($B$9=1,MODS!AW18,IF($B$9=2,LUCI!AW18,IF($B$9=3,LBC!AW18,IF($B$9=4,PEPSI!AW18,NA()))))</f>
        <v>#N/A</v>
      </c>
      <c r="AE17" s="25" t="e">
        <f>IF($B$9=1,MODS!W18,IF($B$9=2,LUCI!W18,IF($B$9=3,LBC!W18,IF($B$9=4,PEPSI!W18,NA()))))</f>
        <v>#N/A</v>
      </c>
    </row>
    <row r="18" spans="1:31" x14ac:dyDescent="0.2">
      <c r="A18" s="6" t="s">
        <v>266</v>
      </c>
      <c r="B18" s="16">
        <f>MOD(B15+B14,24)</f>
        <v>10.646162054247005</v>
      </c>
      <c r="C18" s="14" t="s">
        <v>122</v>
      </c>
      <c r="Q18" s="24">
        <f t="shared" si="7"/>
        <v>65</v>
      </c>
      <c r="R18" s="50">
        <f t="shared" si="0"/>
        <v>13.07292070208169</v>
      </c>
      <c r="S18" s="35">
        <f t="shared" si="8"/>
        <v>13.07292070208169</v>
      </c>
      <c r="T18" s="212">
        <f t="shared" si="1"/>
        <v>40.216735243953742</v>
      </c>
      <c r="U18" s="35">
        <f t="shared" si="2"/>
        <v>15.588647714421858</v>
      </c>
      <c r="V18" s="35">
        <f t="shared" si="9"/>
        <v>15.588647714421858</v>
      </c>
      <c r="W18" s="65">
        <f t="shared" si="3"/>
        <v>35.317828471209189</v>
      </c>
      <c r="X18" s="50">
        <f t="shared" si="4"/>
        <v>17.588804480733184</v>
      </c>
      <c r="Y18" s="35">
        <f t="shared" si="10"/>
        <v>17.588804480733184</v>
      </c>
      <c r="Z18" s="212">
        <f t="shared" si="5"/>
        <v>20.832540190969628</v>
      </c>
      <c r="AB18" s="24">
        <f t="shared" si="6"/>
        <v>15</v>
      </c>
      <c r="AC18" s="35" t="e">
        <f>IF($B$9=1,MODS!AV19,IF($B$9=2,LUCI!AV19,IF($B$9=3,LBC!AV19,IF($B$9=4,PEPSI!AV19,NA()))))</f>
        <v>#N/A</v>
      </c>
      <c r="AD18" s="35" t="e">
        <f>IF($B$9=1,MODS!AW19,IF($B$9=2,LUCI!AW19,IF($B$9=3,LBC!AW19,IF($B$9=4,PEPSI!AW19,NA()))))</f>
        <v>#N/A</v>
      </c>
      <c r="AE18" s="25" t="e">
        <f>IF($B$9=1,MODS!W19,IF($B$9=2,LUCI!W19,IF($B$9=3,LBC!W19,IF($B$9=4,PEPSI!W19,NA()))))</f>
        <v>#N/A</v>
      </c>
    </row>
    <row r="19" spans="1:31" x14ac:dyDescent="0.2">
      <c r="A19" s="6" t="s">
        <v>266</v>
      </c>
      <c r="B19" s="16">
        <f>B18*15</f>
        <v>159.69243081370507</v>
      </c>
      <c r="C19" s="14" t="s">
        <v>4</v>
      </c>
      <c r="Q19" s="24">
        <f t="shared" si="7"/>
        <v>70</v>
      </c>
      <c r="R19" s="50">
        <f t="shared" si="0"/>
        <v>13.075410091338703</v>
      </c>
      <c r="S19" s="35">
        <f t="shared" si="8"/>
        <v>13.075410091338703</v>
      </c>
      <c r="T19" s="212">
        <f t="shared" si="1"/>
        <v>37.717498817499582</v>
      </c>
      <c r="U19" s="35">
        <f t="shared" si="2"/>
        <v>15.461813297332506</v>
      </c>
      <c r="V19" s="35">
        <f t="shared" si="9"/>
        <v>15.461813297332506</v>
      </c>
      <c r="W19" s="65">
        <f t="shared" si="3"/>
        <v>31.290275550750852</v>
      </c>
      <c r="X19" s="50">
        <f t="shared" si="4"/>
        <v>17.387777345591509</v>
      </c>
      <c r="Y19" s="35">
        <f t="shared" si="10"/>
        <v>17.387777345591509</v>
      </c>
      <c r="Z19" s="212">
        <f t="shared" si="5"/>
        <v>16.727106917763027</v>
      </c>
      <c r="AB19" s="24">
        <f t="shared" si="6"/>
        <v>16</v>
      </c>
      <c r="AC19" s="35" t="e">
        <f>IF($B$9=1,MODS!AV20,IF($B$9=2,LUCI!AV20,IF($B$9=3,LBC!AV20,IF($B$9=4,PEPSI!AV20,NA()))))</f>
        <v>#N/A</v>
      </c>
      <c r="AD19" s="35" t="e">
        <f>IF($B$9=1,MODS!AW20,IF($B$9=2,LUCI!AW20,IF($B$9=3,LBC!AW20,IF($B$9=4,PEPSI!AW20,NA()))))</f>
        <v>#N/A</v>
      </c>
      <c r="AE19" s="25" t="e">
        <f>IF($B$9=1,MODS!W20,IF($B$9=2,LUCI!W20,IF($B$9=3,LBC!W20,IF($B$9=4,PEPSI!W20,NA()))))</f>
        <v>#N/A</v>
      </c>
    </row>
    <row r="20" spans="1:31" ht="17" thickBot="1" x14ac:dyDescent="0.25">
      <c r="A20" s="8" t="s">
        <v>267</v>
      </c>
      <c r="B20" s="43">
        <f>B16</f>
        <v>32.700000000000003</v>
      </c>
      <c r="C20" s="15" t="s">
        <v>4</v>
      </c>
      <c r="Q20" s="24">
        <f t="shared" si="7"/>
        <v>75</v>
      </c>
      <c r="R20" s="50">
        <f t="shared" si="0"/>
        <v>13.062333342622473</v>
      </c>
      <c r="S20" s="35">
        <f t="shared" si="8"/>
        <v>13.062333342622473</v>
      </c>
      <c r="T20" s="212">
        <f t="shared" si="1"/>
        <v>35.223074169307544</v>
      </c>
      <c r="U20" s="35">
        <f t="shared" si="2"/>
        <v>15.332231219035217</v>
      </c>
      <c r="V20" s="35">
        <f t="shared" si="9"/>
        <v>15.332231219035217</v>
      </c>
      <c r="W20" s="65">
        <f t="shared" si="3"/>
        <v>27.305808759669958</v>
      </c>
      <c r="X20" s="50">
        <f t="shared" si="4"/>
        <v>17.195278601227201</v>
      </c>
      <c r="Y20" s="35">
        <f t="shared" si="10"/>
        <v>17.195278601227201</v>
      </c>
      <c r="Z20" s="212">
        <f t="shared" si="5"/>
        <v>12.579791486979419</v>
      </c>
      <c r="AB20" s="24">
        <f t="shared" si="6"/>
        <v>17</v>
      </c>
      <c r="AC20" s="35" t="e">
        <f>IF($B$9=1,MODS!AV21,IF($B$9=2,LUCI!AV21,IF($B$9=3,LBC!AV21,IF($B$9=4,PEPSI!AV21,NA()))))</f>
        <v>#N/A</v>
      </c>
      <c r="AD20" s="35" t="e">
        <f>IF($B$9=1,MODS!AW21,IF($B$9=2,LUCI!AW21,IF($B$9=3,LBC!AW21,IF($B$9=4,PEPSI!AW21,NA()))))</f>
        <v>#N/A</v>
      </c>
      <c r="AE20" s="25" t="e">
        <f>IF($B$9=1,MODS!W21,IF($B$9=2,LUCI!W21,IF($B$9=3,LBC!W21,IF($B$9=4,PEPSI!W21,NA()))))</f>
        <v>#N/A</v>
      </c>
    </row>
    <row r="21" spans="1:31" ht="17" thickBot="1" x14ac:dyDescent="0.25">
      <c r="Q21" s="24">
        <f t="shared" si="7"/>
        <v>80</v>
      </c>
      <c r="R21" s="50">
        <f t="shared" si="0"/>
        <v>13.035142528468535</v>
      </c>
      <c r="S21" s="35">
        <f t="shared" si="8"/>
        <v>13.035142528468535</v>
      </c>
      <c r="T21" s="212">
        <f t="shared" si="1"/>
        <v>32.746646760070028</v>
      </c>
      <c r="U21" s="35">
        <f t="shared" si="2"/>
        <v>15.199052997893</v>
      </c>
      <c r="V21" s="35">
        <f t="shared" si="9"/>
        <v>15.199052997893</v>
      </c>
      <c r="W21" s="65">
        <f t="shared" si="3"/>
        <v>23.370149307327885</v>
      </c>
      <c r="X21" s="50">
        <f t="shared" si="4"/>
        <v>17.008929778875775</v>
      </c>
      <c r="Y21" s="35">
        <f t="shared" si="10"/>
        <v>17.008929778875775</v>
      </c>
      <c r="Z21" s="212">
        <f t="shared" si="5"/>
        <v>8.4025359204162857</v>
      </c>
      <c r="AB21" s="24">
        <f t="shared" si="6"/>
        <v>18</v>
      </c>
      <c r="AC21" s="35" t="e">
        <f>IF($B$9=1,MODS!AV22,IF($B$9=2,LUCI!AV22,IF($B$9=3,LBC!AV22,IF($B$9=4,PEPSI!AV22,NA()))))</f>
        <v>#N/A</v>
      </c>
      <c r="AD21" s="35" t="e">
        <f>IF($B$9=1,MODS!AW22,IF($B$9=2,LUCI!AW22,IF($B$9=3,LBC!AW22,IF($B$9=4,PEPSI!AW22,NA()))))</f>
        <v>#N/A</v>
      </c>
      <c r="AE21" s="25" t="e">
        <f>IF($B$9=1,MODS!W22,IF($B$9=2,LUCI!W22,IF($B$9=3,LBC!W22,IF($B$9=4,PEPSI!W22,NA()))))</f>
        <v>#N/A</v>
      </c>
    </row>
    <row r="22" spans="1:31" x14ac:dyDescent="0.2">
      <c r="A22" s="334" t="s">
        <v>282</v>
      </c>
      <c r="B22" s="335"/>
      <c r="C22" s="336"/>
      <c r="Q22" s="24">
        <f t="shared" si="7"/>
        <v>85</v>
      </c>
      <c r="R22" s="50">
        <f t="shared" si="0"/>
        <v>12.995049451893385</v>
      </c>
      <c r="S22" s="35">
        <f t="shared" si="8"/>
        <v>12.995049451893385</v>
      </c>
      <c r="T22" s="212">
        <f t="shared" si="1"/>
        <v>30.300362761841608</v>
      </c>
      <c r="U22" s="35">
        <f t="shared" si="2"/>
        <v>15.061462806434985</v>
      </c>
      <c r="V22" s="35">
        <f t="shared" si="9"/>
        <v>15.061462806434985</v>
      </c>
      <c r="W22" s="65">
        <f t="shared" si="3"/>
        <v>19.489653189349202</v>
      </c>
      <c r="X22" s="50">
        <f t="shared" si="4"/>
        <v>16.826566427902971</v>
      </c>
      <c r="Y22" s="35">
        <f t="shared" si="10"/>
        <v>16.826566427902971</v>
      </c>
      <c r="Z22" s="212">
        <f t="shared" si="5"/>
        <v>4.2059920705035818</v>
      </c>
      <c r="AB22" s="24">
        <f t="shared" si="6"/>
        <v>19</v>
      </c>
      <c r="AC22" s="35" t="e">
        <f>IF($B$9=1,MODS!AV23,IF($B$9=2,LUCI!AV23,IF($B$9=3,LBC!AV23,IF($B$9=4,PEPSI!AV23,NA()))))</f>
        <v>#N/A</v>
      </c>
      <c r="AD22" s="35" t="e">
        <f>IF($B$9=1,MODS!AW23,IF($B$9=2,LUCI!AW23,IF($B$9=3,LBC!AW23,IF($B$9=4,PEPSI!AW23,NA()))))</f>
        <v>#N/A</v>
      </c>
      <c r="AE22" s="25" t="e">
        <f>IF($B$9=1,MODS!W23,IF($B$9=2,LUCI!W23,IF($B$9=3,LBC!W23,IF($B$9=4,PEPSI!W23,NA()))))</f>
        <v>#N/A</v>
      </c>
    </row>
    <row r="23" spans="1:31" ht="17" thickBot="1" x14ac:dyDescent="0.25">
      <c r="A23" s="6" t="s">
        <v>268</v>
      </c>
      <c r="B23" s="261">
        <v>30</v>
      </c>
      <c r="C23" s="14" t="s">
        <v>4</v>
      </c>
      <c r="Q23" s="24">
        <f t="shared" si="7"/>
        <v>90</v>
      </c>
      <c r="R23" s="50">
        <f t="shared" si="0"/>
        <v>12.94306489188857</v>
      </c>
      <c r="S23" s="35">
        <f t="shared" si="8"/>
        <v>12.94306489188857</v>
      </c>
      <c r="T23" s="212">
        <f t="shared" si="1"/>
        <v>27.895593331044335</v>
      </c>
      <c r="U23" s="35">
        <f t="shared" si="2"/>
        <v>14.918652994525328</v>
      </c>
      <c r="V23" s="35">
        <f t="shared" si="9"/>
        <v>14.918652994525328</v>
      </c>
      <c r="W23" s="65">
        <f t="shared" si="3"/>
        <v>15.671417208363078</v>
      </c>
      <c r="X23" s="50">
        <f t="shared" si="4"/>
        <v>16.646162054247004</v>
      </c>
      <c r="Y23" s="35">
        <f t="shared" si="10"/>
        <v>16.646162054247004</v>
      </c>
      <c r="Z23" s="212">
        <f t="shared" si="5"/>
        <v>4.849658671185995E-15</v>
      </c>
      <c r="AB23" s="26">
        <f t="shared" si="6"/>
        <v>20</v>
      </c>
      <c r="AC23" s="48" t="e">
        <f>IF($B$9=1,MODS!AV24,IF($B$9=2,LUCI!AV24,IF($B$9=3,LBC!AV24,IF($B$9=4,PEPSI!AV24,NA()))))</f>
        <v>#N/A</v>
      </c>
      <c r="AD23" s="48" t="e">
        <f>IF($B$9=1,MODS!AW24,IF($B$9=2,LUCI!AW24,IF($B$9=3,LBC!AW24,IF($B$9=4,PEPSI!AW24,NA()))))</f>
        <v>#N/A</v>
      </c>
      <c r="AE23" s="28" t="e">
        <f>IF($B$9=1,MODS!W24,IF($B$9=2,LUCI!W24,IF($B$9=3,LBC!W24,IF($B$9=4,PEPSI!W24,NA()))))</f>
        <v>#N/A</v>
      </c>
    </row>
    <row r="24" spans="1:31" x14ac:dyDescent="0.2">
      <c r="A24" s="6" t="s">
        <v>269</v>
      </c>
      <c r="B24" s="262">
        <v>60</v>
      </c>
      <c r="C24" s="14"/>
      <c r="Q24" s="24">
        <f t="shared" si="7"/>
        <v>95</v>
      </c>
      <c r="R24" s="50">
        <f t="shared" si="0"/>
        <v>12.880034602872536</v>
      </c>
      <c r="S24" s="35">
        <f t="shared" si="8"/>
        <v>12.880034602872536</v>
      </c>
      <c r="T24" s="212">
        <f t="shared" si="1"/>
        <v>25.543141922036746</v>
      </c>
      <c r="U24" s="35">
        <f t="shared" si="2"/>
        <v>14.769807278113477</v>
      </c>
      <c r="V24" s="35">
        <f t="shared" si="9"/>
        <v>14.769807278113477</v>
      </c>
      <c r="W24" s="65">
        <f t="shared" si="3"/>
        <v>11.923393927912317</v>
      </c>
      <c r="X24" s="50">
        <f t="shared" si="4"/>
        <v>16.465757680591036</v>
      </c>
      <c r="Y24" s="35">
        <f t="shared" si="10"/>
        <v>16.465757680591036</v>
      </c>
      <c r="Z24" s="212">
        <f t="shared" si="5"/>
        <v>-4.2059920705035836</v>
      </c>
    </row>
    <row r="25" spans="1:31" ht="17" thickBot="1" x14ac:dyDescent="0.25">
      <c r="A25" s="8" t="s">
        <v>270</v>
      </c>
      <c r="B25" s="263">
        <v>90</v>
      </c>
      <c r="C25" s="15"/>
      <c r="Q25" s="24">
        <f t="shared" si="7"/>
        <v>100</v>
      </c>
      <c r="R25" s="50">
        <f t="shared" si="0"/>
        <v>12.806671669230873</v>
      </c>
      <c r="S25" s="35">
        <f t="shared" si="8"/>
        <v>12.806671669230873</v>
      </c>
      <c r="T25" s="212">
        <f t="shared" si="1"/>
        <v>23.25340355081503</v>
      </c>
      <c r="U25" s="35">
        <f t="shared" si="2"/>
        <v>14.614089838797792</v>
      </c>
      <c r="V25" s="35">
        <f t="shared" si="9"/>
        <v>14.614089838797792</v>
      </c>
      <c r="W25" s="65">
        <f t="shared" si="3"/>
        <v>8.2545161384840817</v>
      </c>
      <c r="X25" s="50">
        <f t="shared" si="4"/>
        <v>16.283394329618236</v>
      </c>
      <c r="Y25" s="35">
        <f t="shared" si="10"/>
        <v>16.283394329618236</v>
      </c>
      <c r="Z25" s="212">
        <f t="shared" si="5"/>
        <v>-8.4025359204162768</v>
      </c>
      <c r="AB25" s="16"/>
    </row>
    <row r="26" spans="1:31" ht="17" thickBot="1" x14ac:dyDescent="0.25">
      <c r="Q26" s="24">
        <f t="shared" si="7"/>
        <v>105</v>
      </c>
      <c r="R26" s="50">
        <f t="shared" si="0"/>
        <v>12.723585389434668</v>
      </c>
      <c r="S26" s="35">
        <f t="shared" si="8"/>
        <v>12.723585389434668</v>
      </c>
      <c r="T26" s="212">
        <f t="shared" si="1"/>
        <v>21.036483024840013</v>
      </c>
      <c r="U26" s="35">
        <f t="shared" si="2"/>
        <v>14.45063970578866</v>
      </c>
      <c r="V26" s="35">
        <f t="shared" si="9"/>
        <v>14.45063970578866</v>
      </c>
      <c r="W26" s="65">
        <f t="shared" si="3"/>
        <v>4.6748300009024097</v>
      </c>
      <c r="X26" s="50">
        <f t="shared" si="4"/>
        <v>16.097045507266806</v>
      </c>
      <c r="Y26" s="35">
        <f t="shared" si="10"/>
        <v>16.097045507266806</v>
      </c>
      <c r="Z26" s="212">
        <f t="shared" si="5"/>
        <v>-12.579791486979422</v>
      </c>
    </row>
    <row r="27" spans="1:31" x14ac:dyDescent="0.2">
      <c r="A27" s="12" t="s">
        <v>281</v>
      </c>
      <c r="B27" s="20" t="s">
        <v>28</v>
      </c>
      <c r="C27" s="21" t="s">
        <v>29</v>
      </c>
      <c r="Q27" s="24">
        <f t="shared" si="7"/>
        <v>110</v>
      </c>
      <c r="R27" s="50">
        <f t="shared" si="0"/>
        <v>12.631307095665164</v>
      </c>
      <c r="S27" s="35">
        <f t="shared" si="8"/>
        <v>12.631307095665164</v>
      </c>
      <c r="T27" s="212">
        <f t="shared" si="1"/>
        <v>18.90227736924777</v>
      </c>
      <c r="U27" s="35">
        <f t="shared" si="2"/>
        <v>14.278570611465458</v>
      </c>
      <c r="V27" s="35">
        <f t="shared" si="9"/>
        <v>14.278570611465458</v>
      </c>
      <c r="W27" s="65">
        <f t="shared" si="3"/>
        <v>1.1956341431657802</v>
      </c>
      <c r="X27" s="50">
        <f t="shared" si="4"/>
        <v>15.904546762902502</v>
      </c>
      <c r="Y27" s="35">
        <f t="shared" si="10"/>
        <v>15.904546762902502</v>
      </c>
      <c r="Z27" s="212">
        <f t="shared" si="5"/>
        <v>-16.727106917763017</v>
      </c>
    </row>
    <row r="28" spans="1:31" x14ac:dyDescent="0.2">
      <c r="A28" s="24" t="str">
        <f>"UT = " &amp; B14</f>
        <v>UT = 7.5</v>
      </c>
      <c r="B28" s="1">
        <v>21</v>
      </c>
      <c r="C28" s="25">
        <v>90</v>
      </c>
      <c r="Q28" s="24">
        <f t="shared" si="7"/>
        <v>115</v>
      </c>
      <c r="R28" s="50">
        <f t="shared" si="0"/>
        <v>12.530313356221621</v>
      </c>
      <c r="S28" s="35">
        <f t="shared" si="8"/>
        <v>12.530313356221621</v>
      </c>
      <c r="T28" s="212">
        <f t="shared" si="1"/>
        <v>16.860526179926964</v>
      </c>
      <c r="U28" s="35">
        <f t="shared" si="2"/>
        <v>14.096977175888055</v>
      </c>
      <c r="V28" s="35">
        <f t="shared" si="9"/>
        <v>14.096977175888055</v>
      </c>
      <c r="W28" s="65">
        <f t="shared" si="3"/>
        <v>-2.1703806480651613</v>
      </c>
      <c r="X28" s="50">
        <f t="shared" si="4"/>
        <v>15.703519627760825</v>
      </c>
      <c r="Y28" s="35">
        <f t="shared" si="10"/>
        <v>15.703519627760825</v>
      </c>
      <c r="Z28" s="212">
        <f t="shared" si="5"/>
        <v>-20.832540190969613</v>
      </c>
    </row>
    <row r="29" spans="1:31" x14ac:dyDescent="0.2">
      <c r="A29" s="24" t="s">
        <v>272</v>
      </c>
      <c r="B29" s="1">
        <v>0</v>
      </c>
      <c r="C29" s="25">
        <v>0</v>
      </c>
      <c r="Q29" s="24">
        <f t="shared" si="7"/>
        <v>120</v>
      </c>
      <c r="R29" s="50">
        <f t="shared" si="0"/>
        <v>12.421046945689241</v>
      </c>
      <c r="S29" s="35">
        <f t="shared" si="8"/>
        <v>12.421046945689241</v>
      </c>
      <c r="T29" s="212">
        <f t="shared" si="1"/>
        <v>14.92083249068096</v>
      </c>
      <c r="U29" s="35">
        <f t="shared" si="2"/>
        <v>13.904948842920261</v>
      </c>
      <c r="V29" s="35">
        <f t="shared" si="9"/>
        <v>13.904948842920261</v>
      </c>
      <c r="W29" s="65">
        <f t="shared" si="3"/>
        <v>-5.409000141473153</v>
      </c>
      <c r="X29" s="50">
        <f t="shared" si="4"/>
        <v>15.491287885494796</v>
      </c>
      <c r="Y29" s="35">
        <f t="shared" si="10"/>
        <v>15.491287885494796</v>
      </c>
      <c r="Z29" s="212">
        <f t="shared" si="5"/>
        <v>-24.882287665203322</v>
      </c>
    </row>
    <row r="30" spans="1:31" x14ac:dyDescent="0.2">
      <c r="A30" s="24"/>
      <c r="B30" s="1">
        <v>24</v>
      </c>
      <c r="C30" s="25">
        <v>0</v>
      </c>
      <c r="Q30" s="24">
        <f t="shared" si="7"/>
        <v>125</v>
      </c>
      <c r="R30" s="50">
        <f t="shared" si="0"/>
        <v>12.303935850664242</v>
      </c>
      <c r="S30" s="35">
        <f t="shared" si="8"/>
        <v>12.303935850664242</v>
      </c>
      <c r="T30" s="212">
        <f t="shared" si="1"/>
        <v>13.092655980924066</v>
      </c>
      <c r="U30" s="35">
        <f t="shared" si="2"/>
        <v>13.701593445899057</v>
      </c>
      <c r="V30" s="35">
        <f t="shared" si="9"/>
        <v>13.701593445899057</v>
      </c>
      <c r="W30" s="65">
        <f t="shared" si="3"/>
        <v>-8.5043776375425892</v>
      </c>
      <c r="X30" s="50">
        <f t="shared" si="4"/>
        <v>15.26478570373339</v>
      </c>
      <c r="Y30" s="35">
        <f t="shared" si="10"/>
        <v>15.26478570373339</v>
      </c>
      <c r="Z30" s="212">
        <f t="shared" si="5"/>
        <v>-28.859979030410841</v>
      </c>
    </row>
    <row r="31" spans="1:31" ht="17" thickBot="1" x14ac:dyDescent="0.25">
      <c r="A31" s="26" t="s">
        <v>9</v>
      </c>
      <c r="B31" s="48">
        <f>(1/15)*Calcs!B54</f>
        <v>22.134318203214686</v>
      </c>
      <c r="C31" s="49">
        <f>Calcs!B56</f>
        <v>-14.194363779631127</v>
      </c>
      <c r="Q31" s="24">
        <f t="shared" si="7"/>
        <v>130</v>
      </c>
      <c r="R31" s="50">
        <f t="shared" si="0"/>
        <v>12.179410435292187</v>
      </c>
      <c r="S31" s="35">
        <f t="shared" si="8"/>
        <v>12.179410435292187</v>
      </c>
      <c r="T31" s="212">
        <f t="shared" si="1"/>
        <v>11.385279981424008</v>
      </c>
      <c r="U31" s="35">
        <f t="shared" si="2"/>
        <v>13.486072532362172</v>
      </c>
      <c r="V31" s="35">
        <f t="shared" si="9"/>
        <v>13.486072532362172</v>
      </c>
      <c r="W31" s="65">
        <f t="shared" si="3"/>
        <v>-11.438967190409475</v>
      </c>
      <c r="X31" s="50">
        <f t="shared" si="4"/>
        <v>15.020460633760415</v>
      </c>
      <c r="Y31" s="35">
        <f t="shared" si="10"/>
        <v>15.020460633760415</v>
      </c>
      <c r="Z31" s="212">
        <f t="shared" si="5"/>
        <v>-32.745792201221839</v>
      </c>
    </row>
    <row r="32" spans="1:31" x14ac:dyDescent="0.2">
      <c r="Q32" s="24">
        <f t="shared" si="7"/>
        <v>135</v>
      </c>
      <c r="R32" s="50">
        <f t="shared" si="0"/>
        <v>12.047918739916284</v>
      </c>
      <c r="S32" s="35">
        <f t="shared" si="8"/>
        <v>12.047918739916284</v>
      </c>
      <c r="T32" s="212">
        <f t="shared" si="1"/>
        <v>9.8077537591609136</v>
      </c>
      <c r="U32" s="35">
        <f t="shared" si="2"/>
        <v>13.257650445795331</v>
      </c>
      <c r="V32" s="35">
        <f t="shared" si="9"/>
        <v>13.257650445795331</v>
      </c>
      <c r="W32" s="65">
        <f t="shared" si="3"/>
        <v>-14.193526166552527</v>
      </c>
      <c r="X32" s="50">
        <f t="shared" si="4"/>
        <v>14.754181660006866</v>
      </c>
      <c r="Y32" s="35">
        <f t="shared" si="10"/>
        <v>14.754181660006866</v>
      </c>
      <c r="Z32" s="212">
        <f t="shared" si="5"/>
        <v>-36.5153396798028</v>
      </c>
    </row>
    <row r="33" spans="17:26" x14ac:dyDescent="0.2">
      <c r="Q33" s="24">
        <f t="shared" si="7"/>
        <v>140</v>
      </c>
      <c r="R33" s="50">
        <f t="shared" si="0"/>
        <v>11.909939743419198</v>
      </c>
      <c r="S33" s="35">
        <f t="shared" si="8"/>
        <v>11.909939743419198</v>
      </c>
      <c r="T33" s="212">
        <f t="shared" si="1"/>
        <v>8.3688119669491172</v>
      </c>
      <c r="U33" s="35">
        <f t="shared" si="2"/>
        <v>13.015758377527057</v>
      </c>
      <c r="V33" s="35">
        <f t="shared" si="9"/>
        <v>13.015758377527057</v>
      </c>
      <c r="W33" s="65">
        <f t="shared" si="3"/>
        <v>-16.747221421197551</v>
      </c>
      <c r="X33" s="50">
        <f t="shared" si="4"/>
        <v>14.461176372285408</v>
      </c>
      <c r="Y33" s="35">
        <f t="shared" si="10"/>
        <v>14.461176372285408</v>
      </c>
      <c r="Z33" s="212">
        <f t="shared" si="5"/>
        <v>-40.138288931701339</v>
      </c>
    </row>
    <row r="34" spans="17:26" x14ac:dyDescent="0.2">
      <c r="Q34" s="24">
        <f t="shared" si="7"/>
        <v>145</v>
      </c>
      <c r="R34" s="50">
        <f t="shared" si="0"/>
        <v>11.765994301042635</v>
      </c>
      <c r="S34" s="35">
        <f t="shared" si="8"/>
        <v>11.765994301042635</v>
      </c>
      <c r="T34" s="212">
        <f t="shared" si="1"/>
        <v>7.0767738957143296</v>
      </c>
      <c r="U34" s="35">
        <f t="shared" si="2"/>
        <v>12.760072834943294</v>
      </c>
      <c r="V34" s="35">
        <f t="shared" si="9"/>
        <v>12.760072834943294</v>
      </c>
      <c r="W34" s="65">
        <f t="shared" si="3"/>
        <v>-19.07787880091195</v>
      </c>
      <c r="X34" s="50">
        <f t="shared" si="4"/>
        <v>14.136046348808016</v>
      </c>
      <c r="Y34" s="35">
        <f t="shared" si="10"/>
        <v>14.136046348808016</v>
      </c>
      <c r="Z34" s="212">
        <f t="shared" si="5"/>
        <v>-43.576722427269516</v>
      </c>
    </row>
    <row r="35" spans="17:26" x14ac:dyDescent="0.2">
      <c r="Q35" s="24">
        <f t="shared" si="7"/>
        <v>150</v>
      </c>
      <c r="R35" s="50">
        <f t="shared" si="0"/>
        <v>11.616653391185656</v>
      </c>
      <c r="S35" s="35">
        <f t="shared" si="8"/>
        <v>11.616653391185656</v>
      </c>
      <c r="T35" s="212">
        <f t="shared" si="1"/>
        <v>5.9394262002267482</v>
      </c>
      <c r="U35" s="35">
        <f t="shared" si="2"/>
        <v>12.490604940096114</v>
      </c>
      <c r="V35" s="35">
        <f t="shared" si="9"/>
        <v>12.490604940096114</v>
      </c>
      <c r="W35" s="65">
        <f t="shared" si="3"/>
        <v>-21.162416322855414</v>
      </c>
      <c r="X35" s="50">
        <f t="shared" si="4"/>
        <v>13.772950433639886</v>
      </c>
      <c r="Y35" s="35">
        <f t="shared" si="10"/>
        <v>13.772950433639886</v>
      </c>
      <c r="Z35" s="212">
        <f t="shared" si="5"/>
        <v>-46.783353818261297</v>
      </c>
    </row>
    <row r="36" spans="17:26" x14ac:dyDescent="0.2">
      <c r="Q36" s="24">
        <f t="shared" si="7"/>
        <v>155</v>
      </c>
      <c r="R36" s="50">
        <f t="shared" si="0"/>
        <v>11.462543283357208</v>
      </c>
      <c r="S36" s="35">
        <f t="shared" si="8"/>
        <v>11.462543283357208</v>
      </c>
      <c r="T36" s="212">
        <f t="shared" si="1"/>
        <v>4.9638939724096218</v>
      </c>
      <c r="U36" s="35">
        <f t="shared" si="2"/>
        <v>12.207792649004059</v>
      </c>
      <c r="V36" s="35">
        <f t="shared" si="9"/>
        <v>12.207792649004059</v>
      </c>
      <c r="W36" s="65">
        <f t="shared" si="3"/>
        <v>-22.977493167455926</v>
      </c>
      <c r="X36" s="50">
        <f t="shared" si="4"/>
        <v>13.366100155156447</v>
      </c>
      <c r="Y36" s="35">
        <f t="shared" si="10"/>
        <v>13.366100155156447</v>
      </c>
      <c r="Z36" s="212">
        <f t="shared" si="5"/>
        <v>-49.699950822730507</v>
      </c>
    </row>
    <row r="37" spans="17:26" x14ac:dyDescent="0.2">
      <c r="Q37" s="24">
        <f t="shared" si="7"/>
        <v>160</v>
      </c>
      <c r="R37" s="50">
        <f t="shared" ref="R37:R68" si="11">(1/15)*MOD($B$19+180/PI()*ATAN2(_xlfn.COT(RADIANS($B$23))*COS(RADIANS($B$20)) - SIN(RADIANS($B$20))*COS(RADIANS(Q37)),SIN(RADIANS(Q37))),360)</f>
        <v>11.304347288583068</v>
      </c>
      <c r="S37" s="35">
        <f t="shared" si="8"/>
        <v>11.304347288583068</v>
      </c>
      <c r="T37" s="212">
        <f t="shared" ref="T37:T68" si="12">180/PI()*ASIN(SIN(RADIANS($B$20))*COS(RADIANS($B$23)) +  COS(RADIANS($B$20))*SIN(RADIANS($B$23))*COS(RADIANS(Q37)))</f>
        <v>4.1565062538688302</v>
      </c>
      <c r="U37" s="35">
        <f t="shared" ref="U37:U68" si="13">(1/15)*MOD($B$19+180/PI()*ATAN2(_xlfn.COT(RADIANS($B$24))*COS(RADIANS($B$20)) - SIN(RADIANS($B$20))*COS(RADIANS(Q37)),SIN(RADIANS(Q37))),360)</f>
        <v>11.912582901820491</v>
      </c>
      <c r="V37" s="35">
        <f t="shared" si="9"/>
        <v>11.912582901820491</v>
      </c>
      <c r="W37" s="65">
        <f t="shared" ref="W37:W68" si="14">180/PI()*ASIN(SIN(RADIANS($B$20))*COS(RADIANS($B$24)) +  COS(RADIANS($B$20))*SIN(RADIANS($B$24))*COS(RADIANS(Q37)))</f>
        <v>-24.500385364637573</v>
      </c>
      <c r="X37" s="50">
        <f t="shared" ref="X37:X68" si="15">(1/15)*MOD($B$19+180/PI()*ATAN2(_xlfn.COT(RADIANS($B$25))*COS(RADIANS($B$20)) - SIN(RADIANS($B$20))*COS(RADIANS(Q37)),SIN(RADIANS(Q37))),360)</f>
        <v>12.910755559477613</v>
      </c>
      <c r="Y37" s="35">
        <f t="shared" si="10"/>
        <v>12.910755559477613</v>
      </c>
      <c r="Z37" s="212">
        <f t="shared" ref="Z37:Z68" si="16">180/PI()*ASIN(SIN(RADIANS($B$20))*COS(RADIANS($B$25)) +  COS(RADIANS($B$20))*SIN(RADIANS($B$25))*COS(RADIANS(Q37)))</f>
        <v>-52.256729285981791</v>
      </c>
    </row>
    <row r="38" spans="17:26" x14ac:dyDescent="0.2">
      <c r="Q38" s="24">
        <f t="shared" si="7"/>
        <v>165</v>
      </c>
      <c r="R38" s="50">
        <f t="shared" si="11"/>
        <v>11.142803879795702</v>
      </c>
      <c r="S38" s="35">
        <f t="shared" si="8"/>
        <v>11.142803879795702</v>
      </c>
      <c r="T38" s="212">
        <f t="shared" si="12"/>
        <v>3.5226631173012084</v>
      </c>
      <c r="U38" s="35">
        <f t="shared" si="13"/>
        <v>11.606486253194985</v>
      </c>
      <c r="V38" s="35">
        <f t="shared" si="9"/>
        <v>11.606486253194985</v>
      </c>
      <c r="W38" s="65">
        <f t="shared" si="14"/>
        <v>-25.710062512702613</v>
      </c>
      <c r="X38" s="50">
        <f t="shared" si="15"/>
        <v>12.404866038489295</v>
      </c>
      <c r="Y38" s="35">
        <f t="shared" si="10"/>
        <v>12.404866038489295</v>
      </c>
      <c r="Z38" s="212">
        <f t="shared" si="16"/>
        <v>-54.374047122650509</v>
      </c>
    </row>
    <row r="39" spans="17:26" x14ac:dyDescent="0.2">
      <c r="Q39" s="24">
        <f t="shared" si="7"/>
        <v>170</v>
      </c>
      <c r="R39" s="50">
        <f t="shared" si="11"/>
        <v>10.978701168940413</v>
      </c>
      <c r="S39" s="35">
        <f t="shared" si="8"/>
        <v>10.978701168940413</v>
      </c>
      <c r="T39" s="212">
        <f t="shared" si="12"/>
        <v>3.0667120957543088</v>
      </c>
      <c r="U39" s="35">
        <f t="shared" si="13"/>
        <v>11.291584885940857</v>
      </c>
      <c r="V39" s="35">
        <f t="shared" si="9"/>
        <v>11.291584885940857</v>
      </c>
      <c r="W39" s="65">
        <f t="shared" si="14"/>
        <v>-26.588390720429874</v>
      </c>
      <c r="X39" s="50">
        <f t="shared" si="15"/>
        <v>11.851226562761338</v>
      </c>
      <c r="Y39" s="35">
        <f t="shared" si="10"/>
        <v>11.851226562761338</v>
      </c>
      <c r="Z39" s="212">
        <f t="shared" si="16"/>
        <v>-55.968124005763983</v>
      </c>
    </row>
    <row r="40" spans="17:26" x14ac:dyDescent="0.2">
      <c r="Q40" s="24">
        <f t="shared" si="7"/>
        <v>175</v>
      </c>
      <c r="R40" s="50">
        <f t="shared" si="11"/>
        <v>10.812867982208459</v>
      </c>
      <c r="S40" s="35">
        <f t="shared" si="8"/>
        <v>10.812867982208459</v>
      </c>
      <c r="T40" s="212">
        <f t="shared" si="12"/>
        <v>2.7918418092295925</v>
      </c>
      <c r="U40" s="35">
        <f t="shared" si="13"/>
        <v>10.97047844684738</v>
      </c>
      <c r="V40" s="35">
        <f t="shared" si="9"/>
        <v>10.97047844684738</v>
      </c>
      <c r="W40" s="65">
        <f t="shared" si="14"/>
        <v>-27.121335326821079</v>
      </c>
      <c r="X40" s="50">
        <f t="shared" si="15"/>
        <v>11.25941839328177</v>
      </c>
      <c r="Y40" s="35">
        <f t="shared" si="10"/>
        <v>11.25941839328177</v>
      </c>
      <c r="Z40" s="212">
        <f t="shared" si="16"/>
        <v>-56.961938429456666</v>
      </c>
    </row>
    <row r="41" spans="17:26" x14ac:dyDescent="0.2">
      <c r="Q41" s="24">
        <f t="shared" si="7"/>
        <v>180</v>
      </c>
      <c r="R41" s="50">
        <f t="shared" si="11"/>
        <v>10.646162054247005</v>
      </c>
      <c r="S41" s="35">
        <f t="shared" si="8"/>
        <v>10.646162054247005</v>
      </c>
      <c r="T41" s="212">
        <f t="shared" si="12"/>
        <v>2.7000000000000055</v>
      </c>
      <c r="U41" s="35">
        <f t="shared" si="13"/>
        <v>10.646162054247005</v>
      </c>
      <c r="V41" s="35">
        <f t="shared" si="9"/>
        <v>10.646162054247005</v>
      </c>
      <c r="W41" s="65">
        <f t="shared" si="14"/>
        <v>-27.3</v>
      </c>
      <c r="X41" s="50">
        <f t="shared" si="15"/>
        <v>10.646162054247005</v>
      </c>
      <c r="Y41" s="35">
        <f t="shared" si="10"/>
        <v>10.646162054247005</v>
      </c>
      <c r="Z41" s="212">
        <f t="shared" si="16"/>
        <v>-57.300000000000011</v>
      </c>
    </row>
    <row r="42" spans="17:26" x14ac:dyDescent="0.2">
      <c r="Q42" s="24">
        <f t="shared" si="7"/>
        <v>185</v>
      </c>
      <c r="R42" s="50">
        <f t="shared" si="11"/>
        <v>10.479456126285552</v>
      </c>
      <c r="S42" s="35">
        <f t="shared" si="8"/>
        <v>10.479456126285552</v>
      </c>
      <c r="T42" s="212">
        <f t="shared" si="12"/>
        <v>2.7918418092295925</v>
      </c>
      <c r="U42" s="35">
        <f t="shared" si="13"/>
        <v>10.321845661646631</v>
      </c>
      <c r="V42" s="35">
        <f t="shared" si="9"/>
        <v>10.321845661646631</v>
      </c>
      <c r="W42" s="65">
        <f t="shared" si="14"/>
        <v>-27.121335326821079</v>
      </c>
      <c r="X42" s="50">
        <f t="shared" si="15"/>
        <v>10.032905715212241</v>
      </c>
      <c r="Y42" s="35">
        <f t="shared" si="10"/>
        <v>10.032905715212241</v>
      </c>
      <c r="Z42" s="212">
        <f t="shared" si="16"/>
        <v>-56.961938429456666</v>
      </c>
    </row>
    <row r="43" spans="17:26" x14ac:dyDescent="0.2">
      <c r="Q43" s="24">
        <f t="shared" si="7"/>
        <v>190</v>
      </c>
      <c r="R43" s="50">
        <f t="shared" si="11"/>
        <v>10.313622939553596</v>
      </c>
      <c r="S43" s="35">
        <f t="shared" si="8"/>
        <v>10.313622939553596</v>
      </c>
      <c r="T43" s="212">
        <f t="shared" si="12"/>
        <v>3.0667120957543088</v>
      </c>
      <c r="U43" s="35">
        <f t="shared" si="13"/>
        <v>10.00073922255315</v>
      </c>
      <c r="V43" s="35">
        <f t="shared" si="9"/>
        <v>10.00073922255315</v>
      </c>
      <c r="W43" s="65">
        <f t="shared" si="14"/>
        <v>-26.588390720429874</v>
      </c>
      <c r="X43" s="50">
        <f t="shared" si="15"/>
        <v>9.4410975457326689</v>
      </c>
      <c r="Y43" s="35">
        <f t="shared" si="10"/>
        <v>9.4410975457326689</v>
      </c>
      <c r="Z43" s="212">
        <f t="shared" si="16"/>
        <v>-55.968124005763983</v>
      </c>
    </row>
    <row r="44" spans="17:26" x14ac:dyDescent="0.2">
      <c r="Q44" s="24">
        <f t="shared" si="7"/>
        <v>195</v>
      </c>
      <c r="R44" s="50">
        <f t="shared" si="11"/>
        <v>10.149520228698307</v>
      </c>
      <c r="S44" s="35">
        <f t="shared" si="8"/>
        <v>10.149520228698307</v>
      </c>
      <c r="T44" s="212">
        <f t="shared" si="12"/>
        <v>3.5226631173012053</v>
      </c>
      <c r="U44" s="35">
        <f t="shared" si="13"/>
        <v>9.6858378552990256</v>
      </c>
      <c r="V44" s="35">
        <f t="shared" si="9"/>
        <v>9.6858378552990256</v>
      </c>
      <c r="W44" s="65">
        <f t="shared" si="14"/>
        <v>-25.710062512702613</v>
      </c>
      <c r="X44" s="50">
        <f t="shared" si="15"/>
        <v>8.8874580700047172</v>
      </c>
      <c r="Y44" s="35">
        <f t="shared" si="10"/>
        <v>8.8874580700047172</v>
      </c>
      <c r="Z44" s="212">
        <f t="shared" si="16"/>
        <v>-54.374047122650516</v>
      </c>
    </row>
    <row r="45" spans="17:26" x14ac:dyDescent="0.2">
      <c r="Q45" s="24">
        <f t="shared" si="7"/>
        <v>200</v>
      </c>
      <c r="R45" s="50">
        <f t="shared" si="11"/>
        <v>9.9879768199109407</v>
      </c>
      <c r="S45" s="35">
        <f t="shared" si="8"/>
        <v>9.9879768199109407</v>
      </c>
      <c r="T45" s="212">
        <f t="shared" si="12"/>
        <v>4.1565062538688267</v>
      </c>
      <c r="U45" s="35">
        <f t="shared" si="13"/>
        <v>9.3797412066735184</v>
      </c>
      <c r="V45" s="35">
        <f t="shared" si="9"/>
        <v>9.3797412066735184</v>
      </c>
      <c r="W45" s="65">
        <f t="shared" si="14"/>
        <v>-24.500385364637577</v>
      </c>
      <c r="X45" s="50">
        <f t="shared" si="15"/>
        <v>8.3815685490164</v>
      </c>
      <c r="Y45" s="35">
        <f t="shared" si="10"/>
        <v>8.3815685490164</v>
      </c>
      <c r="Z45" s="212">
        <f t="shared" si="16"/>
        <v>-52.256729285981812</v>
      </c>
    </row>
    <row r="46" spans="17:26" x14ac:dyDescent="0.2">
      <c r="Q46" s="24">
        <f>Q45+5</f>
        <v>205</v>
      </c>
      <c r="R46" s="50">
        <f t="shared" si="11"/>
        <v>9.8297808251368011</v>
      </c>
      <c r="S46" s="35">
        <f t="shared" si="8"/>
        <v>9.8297808251368011</v>
      </c>
      <c r="T46" s="212">
        <f t="shared" si="12"/>
        <v>4.9638939724096183</v>
      </c>
      <c r="U46" s="35">
        <f t="shared" si="13"/>
        <v>9.084531459489952</v>
      </c>
      <c r="V46" s="35">
        <f t="shared" si="9"/>
        <v>9.084531459489952</v>
      </c>
      <c r="W46" s="65">
        <f t="shared" si="14"/>
        <v>-22.977493167455936</v>
      </c>
      <c r="X46" s="50">
        <f t="shared" si="15"/>
        <v>7.9262239533375611</v>
      </c>
      <c r="Y46" s="35">
        <f t="shared" si="10"/>
        <v>7.9262239533375611</v>
      </c>
      <c r="Z46" s="212">
        <f t="shared" si="16"/>
        <v>-49.699950822730528</v>
      </c>
    </row>
    <row r="47" spans="17:26" x14ac:dyDescent="0.2">
      <c r="Q47" s="24">
        <f t="shared" si="7"/>
        <v>210</v>
      </c>
      <c r="R47" s="50">
        <f t="shared" si="11"/>
        <v>9.6756707173083534</v>
      </c>
      <c r="S47" s="35">
        <f t="shared" si="8"/>
        <v>9.6756707173083534</v>
      </c>
      <c r="T47" s="212">
        <f t="shared" si="12"/>
        <v>5.9394262002267517</v>
      </c>
      <c r="U47" s="35">
        <f t="shared" si="13"/>
        <v>8.801719168397895</v>
      </c>
      <c r="V47" s="35">
        <f t="shared" si="9"/>
        <v>8.801719168397895</v>
      </c>
      <c r="W47" s="65">
        <f t="shared" si="14"/>
        <v>-21.162416322855407</v>
      </c>
      <c r="X47" s="50">
        <f t="shared" si="15"/>
        <v>7.5193736748541227</v>
      </c>
      <c r="Y47" s="35">
        <f t="shared" si="10"/>
        <v>7.5193736748541227</v>
      </c>
      <c r="Z47" s="212">
        <f t="shared" si="16"/>
        <v>-46.783353818261276</v>
      </c>
    </row>
    <row r="48" spans="17:26" x14ac:dyDescent="0.2">
      <c r="Q48" s="24">
        <f t="shared" si="7"/>
        <v>215</v>
      </c>
      <c r="R48" s="50">
        <f t="shared" si="11"/>
        <v>9.5263298074513738</v>
      </c>
      <c r="S48" s="35">
        <f t="shared" si="8"/>
        <v>9.5263298074513738</v>
      </c>
      <c r="T48" s="212">
        <f t="shared" si="12"/>
        <v>7.0767738957143331</v>
      </c>
      <c r="U48" s="35">
        <f t="shared" si="13"/>
        <v>8.5322512735507132</v>
      </c>
      <c r="V48" s="35">
        <f t="shared" si="9"/>
        <v>8.5322512735507132</v>
      </c>
      <c r="W48" s="65">
        <f t="shared" si="14"/>
        <v>-19.077878800911943</v>
      </c>
      <c r="X48" s="50">
        <f t="shared" si="15"/>
        <v>7.1562777596859926</v>
      </c>
      <c r="Y48" s="35">
        <f t="shared" si="10"/>
        <v>7.1562777596859926</v>
      </c>
      <c r="Z48" s="212">
        <f t="shared" si="16"/>
        <v>-43.576722427269502</v>
      </c>
    </row>
    <row r="49" spans="17:26" x14ac:dyDescent="0.2">
      <c r="Q49" s="24">
        <f t="shared" si="7"/>
        <v>220</v>
      </c>
      <c r="R49" s="50">
        <f t="shared" si="11"/>
        <v>9.3823843650748131</v>
      </c>
      <c r="S49" s="35">
        <f t="shared" si="8"/>
        <v>9.3823843650748131</v>
      </c>
      <c r="T49" s="212">
        <f t="shared" si="12"/>
        <v>8.3688119669491172</v>
      </c>
      <c r="U49" s="35">
        <f t="shared" si="13"/>
        <v>8.2765657309669525</v>
      </c>
      <c r="V49" s="35">
        <f t="shared" si="9"/>
        <v>8.2765657309669525</v>
      </c>
      <c r="W49" s="65">
        <f t="shared" si="14"/>
        <v>-16.747221421197562</v>
      </c>
      <c r="X49" s="50">
        <f t="shared" si="15"/>
        <v>6.8311477362086004</v>
      </c>
      <c r="Y49" s="35">
        <f t="shared" si="10"/>
        <v>6.8311477362086004</v>
      </c>
      <c r="Z49" s="212">
        <f t="shared" si="16"/>
        <v>-40.138288931701339</v>
      </c>
    </row>
    <row r="50" spans="17:26" x14ac:dyDescent="0.2">
      <c r="Q50" s="24">
        <f t="shared" si="7"/>
        <v>225</v>
      </c>
      <c r="R50" s="50">
        <f t="shared" si="11"/>
        <v>9.2444053685777252</v>
      </c>
      <c r="S50" s="35">
        <f t="shared" si="8"/>
        <v>9.2444053685777252</v>
      </c>
      <c r="T50" s="212">
        <f t="shared" si="12"/>
        <v>9.8077537591609101</v>
      </c>
      <c r="U50" s="35">
        <f t="shared" si="13"/>
        <v>8.0346736626986797</v>
      </c>
      <c r="V50" s="35">
        <f t="shared" si="9"/>
        <v>8.0346736626986797</v>
      </c>
      <c r="W50" s="65">
        <f t="shared" si="14"/>
        <v>-14.193526166552537</v>
      </c>
      <c r="X50" s="50">
        <f t="shared" si="15"/>
        <v>6.5381424484871422</v>
      </c>
      <c r="Y50" s="35">
        <f t="shared" si="10"/>
        <v>6.5381424484871422</v>
      </c>
      <c r="Z50" s="212">
        <f t="shared" si="16"/>
        <v>-36.515339679802821</v>
      </c>
    </row>
    <row r="51" spans="17:26" x14ac:dyDescent="0.2">
      <c r="Q51" s="24">
        <f t="shared" si="7"/>
        <v>230</v>
      </c>
      <c r="R51" s="50">
        <f t="shared" si="11"/>
        <v>9.1129136732018257</v>
      </c>
      <c r="S51" s="35">
        <f t="shared" si="8"/>
        <v>9.1129136732018257</v>
      </c>
      <c r="T51" s="212">
        <f t="shared" si="12"/>
        <v>11.385279981424006</v>
      </c>
      <c r="U51" s="35">
        <f t="shared" si="13"/>
        <v>7.8062515761318361</v>
      </c>
      <c r="V51" s="35">
        <f t="shared" si="9"/>
        <v>7.8062515761318361</v>
      </c>
      <c r="W51" s="65">
        <f t="shared" si="14"/>
        <v>-11.438967190409482</v>
      </c>
      <c r="X51" s="50">
        <f t="shared" si="15"/>
        <v>6.2718634747335971</v>
      </c>
      <c r="Y51" s="35">
        <f t="shared" si="10"/>
        <v>6.2718634747335971</v>
      </c>
      <c r="Z51" s="212">
        <f t="shared" si="16"/>
        <v>-32.745792201221839</v>
      </c>
    </row>
    <row r="52" spans="17:26" x14ac:dyDescent="0.2">
      <c r="Q52" s="24">
        <f t="shared" si="7"/>
        <v>235</v>
      </c>
      <c r="R52" s="50">
        <f t="shared" si="11"/>
        <v>8.9883882578297687</v>
      </c>
      <c r="S52" s="35">
        <f t="shared" si="8"/>
        <v>8.9883882578297687</v>
      </c>
      <c r="T52" s="212">
        <f t="shared" si="12"/>
        <v>13.092655980924061</v>
      </c>
      <c r="U52" s="35">
        <f t="shared" si="13"/>
        <v>7.590730662594952</v>
      </c>
      <c r="V52" s="35">
        <f t="shared" si="9"/>
        <v>7.590730662594952</v>
      </c>
      <c r="W52" s="65">
        <f t="shared" si="14"/>
        <v>-8.5043776375425981</v>
      </c>
      <c r="X52" s="50">
        <f t="shared" si="15"/>
        <v>6.0275384047606222</v>
      </c>
      <c r="Y52" s="35">
        <f t="shared" si="10"/>
        <v>6.0275384047606222</v>
      </c>
      <c r="Z52" s="212">
        <f t="shared" si="16"/>
        <v>-28.859979030410848</v>
      </c>
    </row>
    <row r="53" spans="17:26" x14ac:dyDescent="0.2">
      <c r="Q53" s="24">
        <f t="shared" si="7"/>
        <v>240</v>
      </c>
      <c r="R53" s="50">
        <f t="shared" si="11"/>
        <v>8.8712771628047697</v>
      </c>
      <c r="S53" s="35">
        <f t="shared" si="8"/>
        <v>8.8712771628047697</v>
      </c>
      <c r="T53" s="212">
        <f t="shared" si="12"/>
        <v>14.920832490680944</v>
      </c>
      <c r="U53" s="35">
        <f t="shared" si="13"/>
        <v>7.3873752655737501</v>
      </c>
      <c r="V53" s="35">
        <f t="shared" si="9"/>
        <v>7.3873752655737501</v>
      </c>
      <c r="W53" s="65">
        <f t="shared" si="14"/>
        <v>-5.4090001414731823</v>
      </c>
      <c r="X53" s="50">
        <f t="shared" si="15"/>
        <v>5.8010362229992163</v>
      </c>
      <c r="Y53" s="35">
        <f t="shared" si="10"/>
        <v>5.8010362229992163</v>
      </c>
      <c r="Z53" s="212">
        <f t="shared" si="16"/>
        <v>-24.882287665203357</v>
      </c>
    </row>
    <row r="54" spans="17:26" x14ac:dyDescent="0.2">
      <c r="Q54" s="24">
        <f t="shared" si="7"/>
        <v>245</v>
      </c>
      <c r="R54" s="50">
        <f t="shared" si="11"/>
        <v>8.7620107522723885</v>
      </c>
      <c r="S54" s="35">
        <f t="shared" si="8"/>
        <v>8.7620107522723885</v>
      </c>
      <c r="T54" s="212">
        <f t="shared" si="12"/>
        <v>16.860526179926968</v>
      </c>
      <c r="U54" s="35">
        <f t="shared" si="13"/>
        <v>7.195346932605954</v>
      </c>
      <c r="V54" s="35">
        <f t="shared" si="9"/>
        <v>7.195346932605954</v>
      </c>
      <c r="W54" s="65">
        <f t="shared" si="14"/>
        <v>-2.1703806480651551</v>
      </c>
      <c r="X54" s="50">
        <f t="shared" si="15"/>
        <v>5.5888044807331836</v>
      </c>
      <c r="Y54" s="35">
        <f t="shared" si="10"/>
        <v>5.5888044807331836</v>
      </c>
      <c r="Z54" s="212">
        <f t="shared" si="16"/>
        <v>-20.832540190969603</v>
      </c>
    </row>
    <row r="55" spans="17:26" x14ac:dyDescent="0.2">
      <c r="Q55" s="24">
        <f t="shared" si="7"/>
        <v>250</v>
      </c>
      <c r="R55" s="50">
        <f t="shared" si="11"/>
        <v>8.6610170128288448</v>
      </c>
      <c r="S55" s="35">
        <f t="shared" si="8"/>
        <v>8.6610170128288448</v>
      </c>
      <c r="T55" s="212">
        <f t="shared" si="12"/>
        <v>18.902277369247773</v>
      </c>
      <c r="U55" s="35">
        <f t="shared" si="13"/>
        <v>7.0137534970285511</v>
      </c>
      <c r="V55" s="35">
        <f t="shared" si="9"/>
        <v>7.0137534970285511</v>
      </c>
      <c r="W55" s="65">
        <f t="shared" si="14"/>
        <v>1.1956341431657882</v>
      </c>
      <c r="X55" s="50">
        <f t="shared" si="15"/>
        <v>5.3877773455915072</v>
      </c>
      <c r="Y55" s="35">
        <f t="shared" si="10"/>
        <v>5.3877773455915072</v>
      </c>
      <c r="Z55" s="212">
        <f t="shared" si="16"/>
        <v>-16.72710691776301</v>
      </c>
    </row>
    <row r="56" spans="17:26" x14ac:dyDescent="0.2">
      <c r="Q56" s="24">
        <f t="shared" si="7"/>
        <v>255</v>
      </c>
      <c r="R56" s="50">
        <f t="shared" si="11"/>
        <v>8.5687387190593434</v>
      </c>
      <c r="S56" s="35">
        <f t="shared" si="8"/>
        <v>8.5687387190593434</v>
      </c>
      <c r="T56" s="212">
        <f t="shared" si="12"/>
        <v>21.036483024840017</v>
      </c>
      <c r="U56" s="35">
        <f t="shared" si="13"/>
        <v>6.8416844027053498</v>
      </c>
      <c r="V56" s="35">
        <f t="shared" si="9"/>
        <v>6.8416844027053498</v>
      </c>
      <c r="W56" s="65">
        <f t="shared" si="14"/>
        <v>4.6748300009024186</v>
      </c>
      <c r="X56" s="50">
        <f t="shared" si="15"/>
        <v>5.1952786012272032</v>
      </c>
      <c r="Y56" s="35">
        <f t="shared" si="10"/>
        <v>5.1952786012272032</v>
      </c>
      <c r="Z56" s="212">
        <f t="shared" si="16"/>
        <v>-12.579791486979412</v>
      </c>
    </row>
    <row r="57" spans="17:26" x14ac:dyDescent="0.2">
      <c r="Q57" s="24">
        <f t="shared" si="7"/>
        <v>260</v>
      </c>
      <c r="R57" s="50">
        <f t="shared" si="11"/>
        <v>8.4856524392631378</v>
      </c>
      <c r="S57" s="35">
        <f t="shared" si="8"/>
        <v>8.4856524392631378</v>
      </c>
      <c r="T57" s="212">
        <f t="shared" si="12"/>
        <v>23.25340355081503</v>
      </c>
      <c r="U57" s="35">
        <f t="shared" si="13"/>
        <v>6.6782342696962171</v>
      </c>
      <c r="V57" s="35">
        <f t="shared" si="9"/>
        <v>6.6782342696962171</v>
      </c>
      <c r="W57" s="65">
        <f t="shared" si="14"/>
        <v>8.2545161384840799</v>
      </c>
      <c r="X57" s="50">
        <f t="shared" si="15"/>
        <v>5.008929778875773</v>
      </c>
      <c r="Y57" s="35">
        <f t="shared" si="10"/>
        <v>5.008929778875773</v>
      </c>
      <c r="Z57" s="212">
        <f t="shared" si="16"/>
        <v>-8.4025359204162786</v>
      </c>
    </row>
    <row r="58" spans="17:26" x14ac:dyDescent="0.2">
      <c r="Q58" s="24">
        <f t="shared" si="7"/>
        <v>265</v>
      </c>
      <c r="R58" s="50">
        <f t="shared" si="11"/>
        <v>8.412289505621473</v>
      </c>
      <c r="S58" s="35">
        <f t="shared" si="8"/>
        <v>8.412289505621473</v>
      </c>
      <c r="T58" s="212">
        <f t="shared" si="12"/>
        <v>25.543141922036746</v>
      </c>
      <c r="U58" s="35">
        <f t="shared" si="13"/>
        <v>6.522516830380531</v>
      </c>
      <c r="V58" s="35">
        <f t="shared" si="9"/>
        <v>6.522516830380531</v>
      </c>
      <c r="W58" s="65">
        <f t="shared" si="14"/>
        <v>11.923393927912315</v>
      </c>
      <c r="X58" s="50">
        <f t="shared" si="15"/>
        <v>4.8265664279029732</v>
      </c>
      <c r="Y58" s="35">
        <f t="shared" si="10"/>
        <v>4.8265664279029732</v>
      </c>
      <c r="Z58" s="212">
        <f t="shared" si="16"/>
        <v>-4.2059920705035836</v>
      </c>
    </row>
    <row r="59" spans="17:26" x14ac:dyDescent="0.2">
      <c r="Q59" s="24">
        <f t="shared" si="7"/>
        <v>270</v>
      </c>
      <c r="R59" s="50">
        <f t="shared" si="11"/>
        <v>8.3492592166054376</v>
      </c>
      <c r="S59" s="35">
        <f t="shared" si="8"/>
        <v>8.3492592166054376</v>
      </c>
      <c r="T59" s="212">
        <f t="shared" si="12"/>
        <v>27.895593331044331</v>
      </c>
      <c r="U59" s="35">
        <f t="shared" si="13"/>
        <v>6.3736711139686832</v>
      </c>
      <c r="V59" s="35">
        <f t="shared" si="9"/>
        <v>6.3736711139686832</v>
      </c>
      <c r="W59" s="65">
        <f t="shared" si="14"/>
        <v>15.671417208363067</v>
      </c>
      <c r="X59" s="50">
        <f t="shared" si="15"/>
        <v>4.6461620542470046</v>
      </c>
      <c r="Y59" s="35">
        <f t="shared" si="10"/>
        <v>4.6461620542470046</v>
      </c>
      <c r="Z59" s="212">
        <f t="shared" si="16"/>
        <v>-6.9644518539332631E-15</v>
      </c>
    </row>
    <row r="60" spans="17:26" x14ac:dyDescent="0.2">
      <c r="Q60" s="24">
        <f t="shared" si="7"/>
        <v>275</v>
      </c>
      <c r="R60" s="50">
        <f t="shared" si="11"/>
        <v>8.2972746566006261</v>
      </c>
      <c r="S60" s="35">
        <f t="shared" si="8"/>
        <v>8.2972746566006261</v>
      </c>
      <c r="T60" s="212">
        <f t="shared" si="12"/>
        <v>30.300362761841608</v>
      </c>
      <c r="U60" s="35">
        <f t="shared" si="13"/>
        <v>6.2308613020590249</v>
      </c>
      <c r="V60" s="35">
        <f t="shared" si="9"/>
        <v>6.2308613020590249</v>
      </c>
      <c r="W60" s="65">
        <f t="shared" si="14"/>
        <v>19.489653189349191</v>
      </c>
      <c r="X60" s="50">
        <f t="shared" si="15"/>
        <v>4.4657576805910377</v>
      </c>
      <c r="Y60" s="35">
        <f t="shared" si="10"/>
        <v>4.4657576805910377</v>
      </c>
      <c r="Z60" s="212">
        <f t="shared" si="16"/>
        <v>4.2059920705035703</v>
      </c>
    </row>
    <row r="61" spans="17:26" x14ac:dyDescent="0.2">
      <c r="Q61" s="24">
        <f>Q60+5</f>
        <v>280</v>
      </c>
      <c r="R61" s="50">
        <f t="shared" si="11"/>
        <v>8.2571815800254722</v>
      </c>
      <c r="S61" s="35">
        <f t="shared" si="8"/>
        <v>8.2571815800254722</v>
      </c>
      <c r="T61" s="212">
        <f t="shared" si="12"/>
        <v>32.746646760070028</v>
      </c>
      <c r="U61" s="35">
        <f t="shared" si="13"/>
        <v>6.0932711106010116</v>
      </c>
      <c r="V61" s="35">
        <f t="shared" si="9"/>
        <v>6.0932711106010116</v>
      </c>
      <c r="W61" s="65">
        <f t="shared" si="14"/>
        <v>23.370149307327868</v>
      </c>
      <c r="X61" s="50">
        <f t="shared" si="15"/>
        <v>4.283394329618238</v>
      </c>
      <c r="Y61" s="35">
        <f t="shared" si="10"/>
        <v>4.283394329618238</v>
      </c>
      <c r="Z61" s="212">
        <f t="shared" si="16"/>
        <v>8.4025359204162644</v>
      </c>
    </row>
    <row r="62" spans="17:26" x14ac:dyDescent="0.2">
      <c r="Q62" s="24">
        <f t="shared" si="7"/>
        <v>285</v>
      </c>
      <c r="R62" s="50">
        <f t="shared" si="11"/>
        <v>8.2299907658715359</v>
      </c>
      <c r="S62" s="35">
        <f t="shared" si="8"/>
        <v>8.2299907658715359</v>
      </c>
      <c r="T62" s="212">
        <f t="shared" si="12"/>
        <v>35.223074169307523</v>
      </c>
      <c r="U62" s="35">
        <f t="shared" si="13"/>
        <v>5.9600928894587923</v>
      </c>
      <c r="V62" s="35">
        <f t="shared" si="9"/>
        <v>5.9600928894587923</v>
      </c>
      <c r="W62" s="65">
        <f t="shared" si="14"/>
        <v>27.30580875966994</v>
      </c>
      <c r="X62" s="50">
        <f t="shared" si="15"/>
        <v>4.0970455072668086</v>
      </c>
      <c r="Y62" s="35">
        <f t="shared" si="10"/>
        <v>4.0970455072668086</v>
      </c>
      <c r="Z62" s="212">
        <f t="shared" si="16"/>
        <v>12.579791486979399</v>
      </c>
    </row>
    <row r="63" spans="17:26" x14ac:dyDescent="0.2">
      <c r="Q63" s="24">
        <f t="shared" si="7"/>
        <v>290</v>
      </c>
      <c r="R63" s="50">
        <f t="shared" si="11"/>
        <v>8.2169140171553074</v>
      </c>
      <c r="S63" s="35">
        <f t="shared" si="8"/>
        <v>8.2169140171553074</v>
      </c>
      <c r="T63" s="212">
        <f t="shared" si="12"/>
        <v>37.717498817499596</v>
      </c>
      <c r="U63" s="35">
        <f t="shared" si="13"/>
        <v>5.8305108111615036</v>
      </c>
      <c r="V63" s="35">
        <f t="shared" si="9"/>
        <v>5.8305108111615036</v>
      </c>
      <c r="W63" s="65">
        <f t="shared" si="14"/>
        <v>31.290275550750859</v>
      </c>
      <c r="X63" s="50">
        <f t="shared" si="15"/>
        <v>3.904546762902501</v>
      </c>
      <c r="Y63" s="35">
        <f t="shared" si="10"/>
        <v>3.904546762902501</v>
      </c>
      <c r="Z63" s="212">
        <f t="shared" si="16"/>
        <v>16.727106917763038</v>
      </c>
    </row>
    <row r="64" spans="17:26" x14ac:dyDescent="0.2">
      <c r="Q64" s="24">
        <f t="shared" si="7"/>
        <v>295</v>
      </c>
      <c r="R64" s="50">
        <f t="shared" si="11"/>
        <v>8.2194034064123205</v>
      </c>
      <c r="S64" s="35">
        <f t="shared" si="8"/>
        <v>8.2194034064123205</v>
      </c>
      <c r="T64" s="212">
        <f t="shared" si="12"/>
        <v>40.21673524395375</v>
      </c>
      <c r="U64" s="35">
        <f t="shared" si="13"/>
        <v>5.7036763940721515</v>
      </c>
      <c r="V64" s="35">
        <f t="shared" si="9"/>
        <v>5.7036763940721515</v>
      </c>
      <c r="W64" s="65">
        <f t="shared" si="14"/>
        <v>35.317828471209197</v>
      </c>
      <c r="X64" s="50">
        <f t="shared" si="15"/>
        <v>3.7035196277608264</v>
      </c>
      <c r="Y64" s="35">
        <f t="shared" si="10"/>
        <v>3.7035196277608264</v>
      </c>
      <c r="Z64" s="212">
        <f t="shared" si="16"/>
        <v>20.832540190969631</v>
      </c>
    </row>
    <row r="65" spans="17:26" x14ac:dyDescent="0.2">
      <c r="Q65" s="24">
        <f t="shared" si="7"/>
        <v>300</v>
      </c>
      <c r="R65" s="50">
        <f t="shared" si="11"/>
        <v>8.2391921937815429</v>
      </c>
      <c r="S65" s="35">
        <f t="shared" si="8"/>
        <v>8.2391921937815429</v>
      </c>
      <c r="T65" s="212">
        <f t="shared" si="12"/>
        <v>42.706226966718795</v>
      </c>
      <c r="U65" s="35">
        <f t="shared" si="13"/>
        <v>5.5786728669301837</v>
      </c>
      <c r="V65" s="35">
        <f t="shared" si="9"/>
        <v>5.5786728669301837</v>
      </c>
      <c r="W65" s="65">
        <f t="shared" si="14"/>
        <v>39.383282208993904</v>
      </c>
      <c r="X65" s="50">
        <f t="shared" si="15"/>
        <v>3.4912878854947942</v>
      </c>
      <c r="Y65" s="35">
        <f t="shared" si="10"/>
        <v>3.4912878854947942</v>
      </c>
      <c r="Z65" s="212">
        <f t="shared" si="16"/>
        <v>24.882287665203343</v>
      </c>
    </row>
    <row r="66" spans="17:26" x14ac:dyDescent="0.2">
      <c r="Q66" s="24">
        <f t="shared" si="7"/>
        <v>305</v>
      </c>
      <c r="R66" s="50">
        <f t="shared" si="11"/>
        <v>8.2783336436562429</v>
      </c>
      <c r="S66" s="35">
        <f t="shared" si="8"/>
        <v>8.2783336436562429</v>
      </c>
      <c r="T66" s="212">
        <f t="shared" si="12"/>
        <v>45.169636377788919</v>
      </c>
      <c r="U66" s="35">
        <f t="shared" si="13"/>
        <v>5.4544619236783092</v>
      </c>
      <c r="V66" s="35">
        <f t="shared" si="9"/>
        <v>5.4544619236783092</v>
      </c>
      <c r="W66" s="65">
        <f t="shared" si="14"/>
        <v>43.481892409705473</v>
      </c>
      <c r="X66" s="50">
        <f t="shared" si="15"/>
        <v>3.2647857037333892</v>
      </c>
      <c r="Y66" s="35">
        <f t="shared" si="10"/>
        <v>3.2647857037333892</v>
      </c>
      <c r="Z66" s="212">
        <f t="shared" si="16"/>
        <v>28.859979030410841</v>
      </c>
    </row>
    <row r="67" spans="17:26" x14ac:dyDescent="0.2">
      <c r="Q67" s="24">
        <f t="shared" si="7"/>
        <v>310</v>
      </c>
      <c r="R67" s="50">
        <f t="shared" si="11"/>
        <v>8.3392300860209314</v>
      </c>
      <c r="S67" s="35">
        <f t="shared" si="8"/>
        <v>8.3392300860209314</v>
      </c>
      <c r="T67" s="212">
        <f t="shared" si="12"/>
        <v>47.588347861733126</v>
      </c>
      <c r="U67" s="35">
        <f t="shared" si="13"/>
        <v>5.3298009785252365</v>
      </c>
      <c r="V67" s="35">
        <f t="shared" si="9"/>
        <v>5.3298009785252365</v>
      </c>
      <c r="W67" s="65">
        <f t="shared" si="14"/>
        <v>47.609259416831584</v>
      </c>
      <c r="X67" s="50">
        <f t="shared" si="15"/>
        <v>3.0204606337604134</v>
      </c>
      <c r="Y67" s="35">
        <f t="shared" si="10"/>
        <v>3.0204606337604134</v>
      </c>
      <c r="Z67" s="212">
        <f t="shared" si="16"/>
        <v>32.745792201221825</v>
      </c>
    </row>
    <row r="68" spans="17:26" x14ac:dyDescent="0.2">
      <c r="Q68" s="24">
        <f t="shared" si="7"/>
        <v>315</v>
      </c>
      <c r="R68" s="50">
        <f t="shared" si="11"/>
        <v>8.424638108347045</v>
      </c>
      <c r="S68" s="35">
        <f t="shared" si="8"/>
        <v>8.424638108347045</v>
      </c>
      <c r="T68" s="212">
        <f t="shared" si="12"/>
        <v>49.940884409088838</v>
      </c>
      <c r="U68" s="35">
        <f t="shared" si="13"/>
        <v>5.2031083406038832</v>
      </c>
      <c r="V68" s="35">
        <f t="shared" si="9"/>
        <v>5.2031083406038832</v>
      </c>
      <c r="W68" s="65">
        <f t="shared" si="14"/>
        <v>51.761221570436597</v>
      </c>
      <c r="X68" s="50">
        <f t="shared" si="15"/>
        <v>2.7541816600068669</v>
      </c>
      <c r="Y68" s="35">
        <f t="shared" si="10"/>
        <v>2.7541816600068669</v>
      </c>
      <c r="Z68" s="212">
        <f t="shared" si="16"/>
        <v>36.5153396798028</v>
      </c>
    </row>
    <row r="69" spans="17:26" x14ac:dyDescent="0.2">
      <c r="Q69" s="24">
        <f t="shared" si="7"/>
        <v>320</v>
      </c>
      <c r="R69" s="50">
        <f t="shared" ref="R69:R77" si="17">(1/15)*MOD($B$19+180/PI()*ATAN2(_xlfn.COT(RADIANS($B$23))*COS(RADIANS($B$20)) - SIN(RADIANS($B$20))*COS(RADIANS(Q69)),SIN(RADIANS(Q69))),360)</f>
        <v>8.5376257430766405</v>
      </c>
      <c r="S69" s="35">
        <f t="shared" si="8"/>
        <v>8.5376257430766405</v>
      </c>
      <c r="T69" s="212">
        <f t="shared" ref="T69:T77" si="18">180/PI()*ASIN(SIN(RADIANS($B$20))*COS(RADIANS($B$23)) +  COS(RADIANS($B$20))*SIN(RADIANS($B$23))*COS(RADIANS(Q69)))</f>
        <v>52.202258439900284</v>
      </c>
      <c r="U69" s="35">
        <f t="shared" ref="U69:U77" si="19">(1/15)*MOD($B$19+180/PI()*ATAN2(_xlfn.COT(RADIANS($B$24))*COS(RADIANS($B$20)) - SIN(RADIANS($B$20))*COS(RADIANS(Q69)),SIN(RADIANS(Q69))),360)</f>
        <v>5.0722312783795962</v>
      </c>
      <c r="V69" s="35">
        <f t="shared" si="9"/>
        <v>5.0722312783795962</v>
      </c>
      <c r="W69" s="65">
        <f t="shared" ref="W69:W77" si="20">180/PI()*ASIN(SIN(RADIANS($B$20))*COS(RADIANS($B$24)) +  COS(RADIANS($B$20))*SIN(RADIANS($B$24))*COS(RADIANS(Q69)))</f>
        <v>55.933720945025662</v>
      </c>
      <c r="X69" s="50">
        <f t="shared" ref="X69:X77" si="21">(1/15)*MOD($B$19+180/PI()*ATAN2(_xlfn.COT(RADIANS($B$25))*COS(RADIANS($B$20)) - SIN(RADIANS($B$20))*COS(RADIANS(Q69)),SIN(RADIANS(Q69))),360)</f>
        <v>2.4611763722854096</v>
      </c>
      <c r="Y69" s="35">
        <f t="shared" si="10"/>
        <v>2.4611763722854096</v>
      </c>
      <c r="Z69" s="212">
        <f t="shared" ref="Z69:Z77" si="22">180/PI()*ASIN(SIN(RADIANS($B$20))*COS(RADIANS($B$25)) +  COS(RADIANS($B$20))*SIN(RADIANS($B$25))*COS(RADIANS(Q69)))</f>
        <v>40.138288931701332</v>
      </c>
    </row>
    <row r="70" spans="17:26" x14ac:dyDescent="0.2">
      <c r="Q70" s="24">
        <f t="shared" si="7"/>
        <v>325</v>
      </c>
      <c r="R70" s="50">
        <f t="shared" si="17"/>
        <v>8.681443572547618</v>
      </c>
      <c r="S70" s="35">
        <f t="shared" si="8"/>
        <v>8.681443572547618</v>
      </c>
      <c r="T70" s="212">
        <f t="shared" si="18"/>
        <v>54.343318401239586</v>
      </c>
      <c r="U70" s="35">
        <f t="shared" si="19"/>
        <v>4.9340212203698348</v>
      </c>
      <c r="V70" s="35">
        <f t="shared" si="9"/>
        <v>4.9340212203698348</v>
      </c>
      <c r="W70" s="65">
        <f t="shared" si="20"/>
        <v>60.1226062886712</v>
      </c>
      <c r="X70" s="50">
        <f t="shared" si="21"/>
        <v>2.1360463488080188</v>
      </c>
      <c r="Y70" s="35">
        <f t="shared" si="10"/>
        <v>2.1360463488080188</v>
      </c>
      <c r="Z70" s="212">
        <f t="shared" si="22"/>
        <v>43.576722427269488</v>
      </c>
    </row>
    <row r="71" spans="17:26" x14ac:dyDescent="0.2">
      <c r="Q71" s="24">
        <f t="shared" ref="Q71:Q77" si="23">Q70+5</f>
        <v>330</v>
      </c>
      <c r="R71" s="50">
        <f t="shared" si="17"/>
        <v>8.8592559259018042</v>
      </c>
      <c r="S71" s="35">
        <f t="shared" ref="S71:S77" si="24">IF(ABS(R71-R70)&lt;2,R71,NA())</f>
        <v>8.8592559259018042</v>
      </c>
      <c r="T71" s="212">
        <f t="shared" si="18"/>
        <v>56.330224788620683</v>
      </c>
      <c r="U71" s="35">
        <f t="shared" si="19"/>
        <v>4.7834953372812077</v>
      </c>
      <c r="V71" s="35">
        <f t="shared" ref="V71:V77" si="25">IF(ABS(U71-U70)&lt;20,U71,NA())</f>
        <v>4.7834953372812077</v>
      </c>
      <c r="W71" s="65">
        <f t="shared" si="20"/>
        <v>64.323293036645964</v>
      </c>
      <c r="X71" s="50">
        <f t="shared" si="21"/>
        <v>1.7729504336398898</v>
      </c>
      <c r="Y71" s="35">
        <f t="shared" ref="Y71:Y77" si="26">IF(ABS(X71-X70)&lt;10,X71,NA())</f>
        <v>1.7729504336398898</v>
      </c>
      <c r="Z71" s="212">
        <f t="shared" si="22"/>
        <v>46.783353818261261</v>
      </c>
    </row>
    <row r="72" spans="17:26" x14ac:dyDescent="0.2">
      <c r="Q72" s="24">
        <f t="shared" si="23"/>
        <v>335</v>
      </c>
      <c r="R72" s="50">
        <f t="shared" si="17"/>
        <v>9.0736691448531097</v>
      </c>
      <c r="S72" s="35">
        <f t="shared" si="24"/>
        <v>9.0736691448531097</v>
      </c>
      <c r="T72" s="212">
        <f t="shared" si="18"/>
        <v>58.124299898133529</v>
      </c>
      <c r="U72" s="35">
        <f t="shared" si="19"/>
        <v>4.6120207744549484</v>
      </c>
      <c r="V72" s="35">
        <f t="shared" si="25"/>
        <v>4.6120207744549484</v>
      </c>
      <c r="W72" s="65">
        <f t="shared" si="20"/>
        <v>68.530076332357297</v>
      </c>
      <c r="X72" s="50">
        <f t="shared" si="21"/>
        <v>1.3661001551564482</v>
      </c>
      <c r="Y72" s="35">
        <f t="shared" si="26"/>
        <v>1.3661001551564482</v>
      </c>
      <c r="Z72" s="212">
        <f t="shared" si="22"/>
        <v>49.699950822730528</v>
      </c>
    </row>
    <row r="73" spans="17:26" x14ac:dyDescent="0.2">
      <c r="Q73" s="24">
        <f t="shared" si="23"/>
        <v>340</v>
      </c>
      <c r="R73" s="50">
        <f t="shared" si="17"/>
        <v>9.3260109431923581</v>
      </c>
      <c r="S73" s="35">
        <f t="shared" si="24"/>
        <v>9.3260109431923581</v>
      </c>
      <c r="T73" s="212">
        <f t="shared" si="18"/>
        <v>59.682632413026376</v>
      </c>
      <c r="U73" s="35">
        <f t="shared" si="19"/>
        <v>4.4028774859106203</v>
      </c>
      <c r="V73" s="35">
        <f t="shared" si="25"/>
        <v>4.4028774859106203</v>
      </c>
      <c r="W73" s="65">
        <f t="shared" si="20"/>
        <v>72.734499251122429</v>
      </c>
      <c r="X73" s="50">
        <f t="shared" si="21"/>
        <v>0.91075555947761011</v>
      </c>
      <c r="Y73" s="35">
        <f t="shared" si="26"/>
        <v>0.91075555947761011</v>
      </c>
      <c r="Z73" s="212">
        <f t="shared" si="22"/>
        <v>52.256729285981812</v>
      </c>
    </row>
    <row r="74" spans="17:26" x14ac:dyDescent="0.2">
      <c r="Q74" s="24">
        <f t="shared" si="23"/>
        <v>345</v>
      </c>
      <c r="R74" s="50">
        <f t="shared" si="17"/>
        <v>9.6153900365635927</v>
      </c>
      <c r="S74" s="35">
        <f t="shared" si="24"/>
        <v>9.6153900365635927</v>
      </c>
      <c r="T74" s="212">
        <f t="shared" si="18"/>
        <v>60.959918239616364</v>
      </c>
      <c r="U74" s="35">
        <f t="shared" si="19"/>
        <v>4.1184602735529534</v>
      </c>
      <c r="V74" s="35">
        <f t="shared" si="25"/>
        <v>4.1184602735529534</v>
      </c>
      <c r="W74" s="65">
        <f t="shared" si="20"/>
        <v>76.920664578059146</v>
      </c>
      <c r="X74" s="50">
        <f t="shared" si="21"/>
        <v>0.40486603848929309</v>
      </c>
      <c r="Y74" s="35">
        <f t="shared" si="26"/>
        <v>0.40486603848929309</v>
      </c>
      <c r="Z74" s="212">
        <f t="shared" si="22"/>
        <v>54.374047122650516</v>
      </c>
    </row>
    <row r="75" spans="17:26" x14ac:dyDescent="0.2">
      <c r="Q75" s="24">
        <f t="shared" si="23"/>
        <v>350</v>
      </c>
      <c r="R75" s="50">
        <f t="shared" si="17"/>
        <v>9.9377237699611438</v>
      </c>
      <c r="S75" s="35">
        <f t="shared" si="24"/>
        <v>9.9377237699611438</v>
      </c>
      <c r="T75" s="212">
        <f t="shared" si="18"/>
        <v>61.911941304031465</v>
      </c>
      <c r="U75" s="35">
        <f t="shared" si="19"/>
        <v>3.653194960989496</v>
      </c>
      <c r="V75" s="35">
        <f t="shared" si="25"/>
        <v>3.653194960989496</v>
      </c>
      <c r="W75" s="65">
        <f t="shared" si="20"/>
        <v>81.047697060490719</v>
      </c>
      <c r="X75" s="50">
        <f t="shared" si="21"/>
        <v>23.85122656276134</v>
      </c>
      <c r="Y75" s="35" t="e">
        <f t="shared" si="26"/>
        <v>#N/A</v>
      </c>
      <c r="Z75" s="212">
        <f t="shared" si="22"/>
        <v>55.968124005763983</v>
      </c>
    </row>
    <row r="76" spans="17:26" x14ac:dyDescent="0.2">
      <c r="Q76" s="24">
        <f t="shared" si="23"/>
        <v>355</v>
      </c>
      <c r="R76" s="50">
        <f t="shared" si="17"/>
        <v>10.28512797541846</v>
      </c>
      <c r="S76" s="35">
        <f t="shared" si="24"/>
        <v>10.28512797541846</v>
      </c>
      <c r="T76" s="212">
        <f t="shared" si="18"/>
        <v>62.500657429065804</v>
      </c>
      <c r="U76" s="35">
        <f t="shared" si="19"/>
        <v>2.5804740257887402</v>
      </c>
      <c r="V76" s="35">
        <f t="shared" si="25"/>
        <v>2.5804740257887402</v>
      </c>
      <c r="W76" s="65">
        <f t="shared" si="20"/>
        <v>84.948975016583219</v>
      </c>
      <c r="X76" s="50">
        <f t="shared" si="21"/>
        <v>23.25941839328177</v>
      </c>
      <c r="Y76" s="35">
        <f t="shared" si="26"/>
        <v>23.25941839328177</v>
      </c>
      <c r="Z76" s="212">
        <f t="shared" si="22"/>
        <v>56.961938429456659</v>
      </c>
    </row>
    <row r="77" spans="17:26" ht="17" thickBot="1" x14ac:dyDescent="0.25">
      <c r="Q77" s="26">
        <f t="shared" si="23"/>
        <v>360</v>
      </c>
      <c r="R77" s="56">
        <f t="shared" si="17"/>
        <v>10.646162054247004</v>
      </c>
      <c r="S77" s="48">
        <f t="shared" si="24"/>
        <v>10.646162054247004</v>
      </c>
      <c r="T77" s="213">
        <f t="shared" si="18"/>
        <v>62.7</v>
      </c>
      <c r="U77" s="48">
        <f t="shared" si="19"/>
        <v>22.646162054247021</v>
      </c>
      <c r="V77" s="48" t="e">
        <f t="shared" si="25"/>
        <v>#N/A</v>
      </c>
      <c r="W77" s="32">
        <f t="shared" si="20"/>
        <v>87.300000000000054</v>
      </c>
      <c r="X77" s="56">
        <f t="shared" si="21"/>
        <v>22.646162054247004</v>
      </c>
      <c r="Y77" s="35">
        <f t="shared" si="26"/>
        <v>22.646162054247004</v>
      </c>
      <c r="Z77" s="213">
        <f t="shared" si="22"/>
        <v>57.3</v>
      </c>
    </row>
  </sheetData>
  <mergeCells count="9">
    <mergeCell ref="U4:W4"/>
    <mergeCell ref="X4:Z4"/>
    <mergeCell ref="AB1:AE1"/>
    <mergeCell ref="T1:W1"/>
    <mergeCell ref="A22:C22"/>
    <mergeCell ref="A2:C2"/>
    <mergeCell ref="A6:C6"/>
    <mergeCell ref="A13:C13"/>
    <mergeCell ref="R4:T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1203-3E24-414A-9CF8-C5BAA7446E71}">
  <dimension ref="A1:AM166"/>
  <sheetViews>
    <sheetView tabSelected="1" topLeftCell="C1" zoomScale="110" zoomScaleNormal="110" workbookViewId="0">
      <selection activeCell="B9" sqref="B9"/>
    </sheetView>
  </sheetViews>
  <sheetFormatPr baseColWidth="10" defaultRowHeight="16" x14ac:dyDescent="0.2"/>
  <cols>
    <col min="1" max="1" width="11.5" customWidth="1"/>
    <col min="2" max="2" width="7.33203125" customWidth="1"/>
    <col min="14" max="14" width="40" customWidth="1"/>
    <col min="15" max="15" width="34.1640625" customWidth="1"/>
    <col min="16" max="17" width="6.1640625" customWidth="1"/>
    <col min="18" max="18" width="6.6640625" customWidth="1"/>
    <col min="19" max="19" width="5.33203125" customWidth="1"/>
    <col min="20" max="20" width="5.5" customWidth="1"/>
    <col min="21" max="21" width="6.5" customWidth="1"/>
    <col min="22" max="22" width="6.6640625" customWidth="1"/>
    <col min="23" max="23" width="5.33203125" customWidth="1"/>
    <col min="24" max="24" width="5.5" customWidth="1"/>
    <col min="25" max="25" width="5" customWidth="1"/>
    <col min="26" max="26" width="5.5" customWidth="1"/>
    <col min="27" max="28" width="5.33203125" customWidth="1"/>
    <col min="29" max="29" width="5.6640625" customWidth="1"/>
    <col min="31" max="31" width="7.33203125" customWidth="1"/>
    <col min="32" max="32" width="6.6640625" customWidth="1"/>
    <col min="33" max="33" width="7" customWidth="1"/>
    <col min="34" max="34" width="7.1640625" customWidth="1"/>
    <col min="35" max="35" width="7" customWidth="1"/>
    <col min="36" max="36" width="6.5" customWidth="1"/>
    <col min="37" max="37" width="7.1640625" customWidth="1"/>
    <col min="38" max="38" width="6.1640625" customWidth="1"/>
    <col min="39" max="39" width="6.5" customWidth="1"/>
    <col min="40" max="40" width="6.33203125" customWidth="1"/>
    <col min="41" max="41" width="6.1640625" customWidth="1"/>
    <col min="42" max="42" width="6.6640625" customWidth="1"/>
    <col min="43" max="43" width="7" customWidth="1"/>
  </cols>
  <sheetData>
    <row r="1" spans="1:39" ht="17" thickBot="1" x14ac:dyDescent="0.25"/>
    <row r="2" spans="1:39" ht="17" thickBot="1" x14ac:dyDescent="0.25">
      <c r="T2" s="343" t="s">
        <v>193</v>
      </c>
      <c r="U2" s="344"/>
      <c r="V2" s="344"/>
      <c r="W2" s="344"/>
      <c r="X2" s="344"/>
      <c r="Y2" s="345"/>
      <c r="AH2" s="307" t="s">
        <v>180</v>
      </c>
      <c r="AI2" s="308"/>
      <c r="AJ2" s="309"/>
    </row>
    <row r="3" spans="1:39" x14ac:dyDescent="0.2">
      <c r="A3" t="s">
        <v>8</v>
      </c>
      <c r="B3" s="346" t="s">
        <v>315</v>
      </c>
      <c r="C3" s="346"/>
      <c r="P3" s="69" t="s">
        <v>10</v>
      </c>
      <c r="Q3" s="70" t="s">
        <v>10</v>
      </c>
      <c r="R3" s="70" t="s">
        <v>6</v>
      </c>
      <c r="S3" s="70" t="s">
        <v>158</v>
      </c>
      <c r="T3" s="70" t="s">
        <v>0</v>
      </c>
      <c r="U3" s="70" t="s">
        <v>38</v>
      </c>
      <c r="V3" s="176" t="s">
        <v>189</v>
      </c>
      <c r="W3" s="347" t="s">
        <v>190</v>
      </c>
      <c r="X3" s="348"/>
      <c r="Y3" s="348"/>
      <c r="Z3" s="348"/>
      <c r="AA3" s="348"/>
      <c r="AB3" s="348"/>
      <c r="AC3" s="349"/>
      <c r="AE3" s="69" t="s">
        <v>161</v>
      </c>
      <c r="AF3" s="70" t="s">
        <v>166</v>
      </c>
      <c r="AG3" s="70" t="s">
        <v>166</v>
      </c>
      <c r="AH3" s="70" t="s">
        <v>163</v>
      </c>
      <c r="AI3" s="70" t="s">
        <v>183</v>
      </c>
      <c r="AJ3" s="70" t="s">
        <v>184</v>
      </c>
      <c r="AK3" s="70" t="s">
        <v>164</v>
      </c>
      <c r="AL3" s="70" t="s">
        <v>165</v>
      </c>
      <c r="AM3" s="71" t="s">
        <v>187</v>
      </c>
    </row>
    <row r="4" spans="1:39" x14ac:dyDescent="0.2">
      <c r="A4" t="s">
        <v>2</v>
      </c>
      <c r="B4" s="159">
        <v>7.59</v>
      </c>
      <c r="C4" t="s">
        <v>124</v>
      </c>
      <c r="P4" s="77" t="s">
        <v>3</v>
      </c>
      <c r="Q4" s="60" t="s">
        <v>141</v>
      </c>
      <c r="R4" s="60" t="s">
        <v>160</v>
      </c>
      <c r="S4" s="60" t="s">
        <v>4</v>
      </c>
      <c r="T4" s="60" t="s">
        <v>3</v>
      </c>
      <c r="U4" s="60" t="s">
        <v>4</v>
      </c>
      <c r="V4" s="60" t="s">
        <v>4</v>
      </c>
      <c r="W4" s="60">
        <v>0.35</v>
      </c>
      <c r="X4" s="60">
        <v>0.45</v>
      </c>
      <c r="Y4" s="60">
        <v>0.55000000000000004</v>
      </c>
      <c r="Z4" s="60">
        <v>0.65</v>
      </c>
      <c r="AA4" s="60">
        <v>0.75</v>
      </c>
      <c r="AB4" s="60">
        <v>0.85</v>
      </c>
      <c r="AC4" s="177">
        <v>0.95</v>
      </c>
      <c r="AE4" s="77" t="s">
        <v>3</v>
      </c>
      <c r="AF4" s="60" t="s">
        <v>162</v>
      </c>
      <c r="AG4" s="60" t="s">
        <v>185</v>
      </c>
      <c r="AH4" s="350" t="s">
        <v>150</v>
      </c>
      <c r="AI4" s="351"/>
      <c r="AJ4" s="352"/>
      <c r="AK4" s="60" t="s">
        <v>186</v>
      </c>
      <c r="AL4" s="60" t="s">
        <v>186</v>
      </c>
      <c r="AM4" s="177" t="s">
        <v>17</v>
      </c>
    </row>
    <row r="5" spans="1:39" x14ac:dyDescent="0.2">
      <c r="A5" t="s">
        <v>1</v>
      </c>
      <c r="B5" s="159">
        <v>14.29</v>
      </c>
      <c r="C5" t="s">
        <v>125</v>
      </c>
      <c r="P5" s="178">
        <f>B26</f>
        <v>7.5</v>
      </c>
      <c r="Q5" s="160">
        <f>IF(P5&lt;0,INT(24+P5)+0.6*MOD(24+P5,1),INT(P5)+0.6*MOD(P5,1))</f>
        <v>7.3</v>
      </c>
      <c r="R5" s="161">
        <f t="shared" ref="R5:R36" si="0">180/PI()*ASIN(SIN(RADIANS($B$22))*SIN(RADIANS($B$24)) + COS(RADIANS($B$22))*COS(RADIANS($B$24))*COS(RADIANS(15*(P5+$B$25-$B$23))))</f>
        <v>49.445474816164314</v>
      </c>
      <c r="S5" s="161">
        <f>90-R5</f>
        <v>40.554525183835686</v>
      </c>
      <c r="T5" s="161">
        <f t="shared" ref="T5:T36" si="1">$B$25 + P5 - $B$23</f>
        <v>2.6628287209136721</v>
      </c>
      <c r="U5" s="161">
        <f t="shared" ref="U5:U36" si="2">180/PI()*ATAN2(TAN(RADIANS($B$22))*COS(RADIANS($B$24)) - SIN(RADIANS($B$24))*COS(RADIANS(15*T5)),SIN(RADIANS(15*T5)))</f>
        <v>56.197210931817928</v>
      </c>
      <c r="V5" s="161">
        <f>IF(U5&lt;0,U5+180,U5-180)</f>
        <v>-123.80278906818208</v>
      </c>
      <c r="W5" s="161">
        <f t="shared" ref="W5:W36" si="3">$B$20*TAN(RADIANS(S5))*6085*(1/(146 - $W$4^-2) - 1/(146-$B$9^-2)) + 52.6*(1/(41 - $W$4^-2) - 1/(41 - $B$9^-2))</f>
        <v>1.8178947167134065</v>
      </c>
      <c r="X5" s="162">
        <f t="shared" ref="X5:X36" si="4">$B$20*TAN(RADIANS(S5))*6085*(1/(146 - $X$4^-2) - 1/(146-$B$9^-2)) + 52.6*(1/(41 - $X$4^-2) - 1/(41 - $B$9^-2))</f>
        <v>1.0617287269924423</v>
      </c>
      <c r="Y5" s="162">
        <f t="shared" ref="Y5:Y36" si="5">$B$20*TAN(RADIANS(S5))*6085*(1/(146 - $Y$4^-2) - 1/(146-$B$9^-2)) + 52.6*(1/(41 - $Y$4^-2) - 1/(41 - $B$9^-2))</f>
        <v>0.69886489012533382</v>
      </c>
      <c r="Z5" s="161">
        <f t="shared" ref="Z5:Z36" si="6">$B$20*TAN(RADIANS(S5))*6085*(1/(146 - $Z$4^-2) - 1/(146-$B$9^-2)) + 52.6*(1/(41 - $Z$4^-2) - 1/(41 - $B$9^-2))</f>
        <v>0.49566861204376367</v>
      </c>
      <c r="AA5" s="162">
        <f t="shared" ref="AA5:AA36" si="7">$B$20*TAN(RADIANS(S5))*6085*(1/(146 - $AA$4^-2) - 1/(146-$B$9^-2)) + 52.6*(1/(41 - $AA$4^-2) - 1/(41 - $B$9^-2))</f>
        <v>0.37013596535562554</v>
      </c>
      <c r="AB5" s="162">
        <f t="shared" ref="AB5:AB36" si="8">$B$20*TAN(RADIANS(S5))*6085*(1/(146 - $AB$4^-2) - 1/(146-$B$9^-2)) + 52.6*(1/(41 - $AB$4^-2) - 1/(41 - $B$9^-2))</f>
        <v>0.28705698501486565</v>
      </c>
      <c r="AC5" s="179">
        <f t="shared" ref="AC5:AC36" si="9">$B$20*TAN(RADIANS(S5))*6085*(1/(146 - $AC$4^-2) - 1/(146-$B$9^-2)) + 52.6*(1/(41 - $AC$4^-2) - 1/(41 - $B$9^-2))</f>
        <v>0.22918685321199156</v>
      </c>
      <c r="AE5" s="172">
        <f t="shared" ref="AE5:AE11" si="10">$B$26</f>
        <v>7.5</v>
      </c>
      <c r="AF5">
        <f>W4</f>
        <v>0.35</v>
      </c>
      <c r="AG5">
        <f>AF5*10000</f>
        <v>3500</v>
      </c>
      <c r="AH5" s="16">
        <f>W5</f>
        <v>1.8178947167134065</v>
      </c>
      <c r="AI5" s="16">
        <f t="shared" ref="AI5:AI11" si="11">-AH5*COS(RADIANS($B$16))</f>
        <v>1.0113603948341292</v>
      </c>
      <c r="AJ5" s="16">
        <f t="shared" ref="AJ5:AJ11" si="12">AH5*SIN(RADIANS($B$16))</f>
        <v>1.510593046725514</v>
      </c>
      <c r="AK5" s="16">
        <f t="shared" ref="AK5:AK11" si="13">(-$B$11/2 - AJ5)/$B$28</f>
        <v>-4.5134334800466389</v>
      </c>
      <c r="AL5" s="16">
        <f t="shared" ref="AL5:AL11" si="14">($B$11/2 - AJ5)/$B$28</f>
        <v>-0.51717134648968999</v>
      </c>
      <c r="AM5" s="66">
        <f>0.5*ERF(AK5,AL5)</f>
        <v>0.23227026213490409</v>
      </c>
    </row>
    <row r="6" spans="1:39" x14ac:dyDescent="0.2">
      <c r="P6" s="172">
        <f>INT(Calcs!$B$27) - 8</f>
        <v>-1</v>
      </c>
      <c r="Q6" s="16">
        <f>IF(P6&lt;0,INT(24+P6)+0.6*MOD(24+P6,1),INT(P6)+0.6*MOD(P6,1))</f>
        <v>23</v>
      </c>
      <c r="R6" s="180">
        <f t="shared" si="0"/>
        <v>9.7782261875369016</v>
      </c>
      <c r="S6" s="180" t="e">
        <f>IF(R6&lt;10,NA(),90-R6)</f>
        <v>#N/A</v>
      </c>
      <c r="T6" s="180">
        <f t="shared" si="1"/>
        <v>-5.8371712790863279</v>
      </c>
      <c r="U6" s="180">
        <f t="shared" si="2"/>
        <v>-58.554885684601786</v>
      </c>
      <c r="V6" s="180">
        <f>IF(U6&lt;0,U6+180,U6-180)</f>
        <v>121.44511431539821</v>
      </c>
      <c r="W6" s="180" t="e">
        <f t="shared" si="3"/>
        <v>#N/A</v>
      </c>
      <c r="X6" t="e">
        <f t="shared" si="4"/>
        <v>#N/A</v>
      </c>
      <c r="Y6" t="e">
        <f t="shared" si="5"/>
        <v>#N/A</v>
      </c>
      <c r="Z6" t="e">
        <f t="shared" si="6"/>
        <v>#N/A</v>
      </c>
      <c r="AA6" t="e">
        <f t="shared" si="7"/>
        <v>#N/A</v>
      </c>
      <c r="AB6" t="e">
        <f t="shared" si="8"/>
        <v>#N/A</v>
      </c>
      <c r="AC6" s="14" t="e">
        <f t="shared" si="9"/>
        <v>#N/A</v>
      </c>
      <c r="AE6" s="172">
        <f t="shared" si="10"/>
        <v>7.5</v>
      </c>
      <c r="AF6">
        <f>X4</f>
        <v>0.45</v>
      </c>
      <c r="AG6">
        <f t="shared" ref="AG6:AG11" si="15">AF6*10000</f>
        <v>4500</v>
      </c>
      <c r="AH6" s="16">
        <f>X5</f>
        <v>1.0617287269924423</v>
      </c>
      <c r="AI6" s="16">
        <f t="shared" si="11"/>
        <v>0.59067798297974716</v>
      </c>
      <c r="AJ6" s="16">
        <f t="shared" si="12"/>
        <v>0.88225133048580295</v>
      </c>
      <c r="AK6" s="16">
        <f t="shared" si="13"/>
        <v>-3.4671758935704129</v>
      </c>
      <c r="AL6" s="16">
        <f t="shared" si="14"/>
        <v>0.52908623998653614</v>
      </c>
      <c r="AM6" s="66">
        <f t="shared" ref="AM6:AM11" si="16">0.5*ERF(AK6,AL6)</f>
        <v>0.77284210723996827</v>
      </c>
    </row>
    <row r="7" spans="1:39" x14ac:dyDescent="0.2">
      <c r="A7" t="s">
        <v>35</v>
      </c>
      <c r="B7" s="159">
        <v>7.3</v>
      </c>
      <c r="C7" t="s">
        <v>247</v>
      </c>
      <c r="P7" s="172">
        <f>P6+0.1</f>
        <v>-0.9</v>
      </c>
      <c r="Q7" s="16">
        <f t="shared" ref="Q7:Q70" si="17">IF(P7&lt;0,INT(24+P7)+0.6*MOD(24+P7,1),INT(P7)+0.6*MOD(P7,1))</f>
        <v>23.060000000000002</v>
      </c>
      <c r="R7" s="180">
        <f t="shared" si="0"/>
        <v>11.018846298557305</v>
      </c>
      <c r="S7" s="180">
        <f t="shared" ref="S7:S70" si="18">IF(R7&lt;10,NA(),90-R7)</f>
        <v>78.981153701442693</v>
      </c>
      <c r="T7" s="180">
        <f t="shared" si="1"/>
        <v>-5.7371712790863274</v>
      </c>
      <c r="U7" s="180">
        <f t="shared" si="2"/>
        <v>-58.791480331226289</v>
      </c>
      <c r="V7" s="180">
        <f t="shared" ref="V7:V70" si="19">IF(U7&lt;0,U7+180,U7-180)</f>
        <v>121.2085196687737</v>
      </c>
      <c r="W7" s="180">
        <f t="shared" si="3"/>
        <v>9.3147252330662145</v>
      </c>
      <c r="X7">
        <f t="shared" si="4"/>
        <v>5.4931652056716658</v>
      </c>
      <c r="Y7">
        <f t="shared" si="5"/>
        <v>3.6314255919564378</v>
      </c>
      <c r="Z7">
        <f t="shared" si="6"/>
        <v>2.58158741095323</v>
      </c>
      <c r="AA7">
        <f t="shared" si="7"/>
        <v>1.9304932148510452</v>
      </c>
      <c r="AB7">
        <f t="shared" si="8"/>
        <v>1.4985608502110837</v>
      </c>
      <c r="AC7" s="14">
        <f t="shared" si="9"/>
        <v>1.197213318863722</v>
      </c>
      <c r="AE7" s="172">
        <f t="shared" si="10"/>
        <v>7.5</v>
      </c>
      <c r="AF7">
        <f>Y4</f>
        <v>0.55000000000000004</v>
      </c>
      <c r="AG7">
        <f t="shared" si="15"/>
        <v>5500</v>
      </c>
      <c r="AH7" s="16">
        <f>Y5</f>
        <v>0.69886489012533382</v>
      </c>
      <c r="AI7" s="16">
        <f t="shared" si="11"/>
        <v>0.38880374353620861</v>
      </c>
      <c r="AJ7" s="16">
        <f t="shared" si="12"/>
        <v>0.58072694415028225</v>
      </c>
      <c r="AK7" s="16">
        <f t="shared" si="13"/>
        <v>-2.965104857130147</v>
      </c>
      <c r="AL7" s="16">
        <f t="shared" si="14"/>
        <v>1.031157276426802</v>
      </c>
      <c r="AM7" s="66">
        <f t="shared" si="16"/>
        <v>0.92760409523040932</v>
      </c>
    </row>
    <row r="8" spans="1:39" x14ac:dyDescent="0.2">
      <c r="P8" s="172">
        <f t="shared" ref="P8:P71" si="20">P7+0.1</f>
        <v>-0.8</v>
      </c>
      <c r="Q8" s="16">
        <f t="shared" si="17"/>
        <v>23.12</v>
      </c>
      <c r="R8" s="180">
        <f t="shared" si="0"/>
        <v>12.262469364713422</v>
      </c>
      <c r="S8" s="180">
        <f t="shared" si="18"/>
        <v>77.737530635286575</v>
      </c>
      <c r="T8" s="180">
        <f t="shared" si="1"/>
        <v>-5.6371712790863278</v>
      </c>
      <c r="U8" s="180">
        <f t="shared" si="2"/>
        <v>-59.012103834875568</v>
      </c>
      <c r="V8" s="180">
        <f t="shared" si="19"/>
        <v>120.98789616512443</v>
      </c>
      <c r="W8" s="180">
        <f t="shared" si="3"/>
        <v>8.378203902060104</v>
      </c>
      <c r="X8">
        <f t="shared" si="4"/>
        <v>4.9395799565148355</v>
      </c>
      <c r="Y8">
        <f t="shared" si="5"/>
        <v>3.265083356295067</v>
      </c>
      <c r="Z8">
        <f t="shared" si="6"/>
        <v>2.3210096313616835</v>
      </c>
      <c r="AA8">
        <f t="shared" si="7"/>
        <v>1.7355697942194945</v>
      </c>
      <c r="AB8">
        <f t="shared" si="8"/>
        <v>1.3472169976486292</v>
      </c>
      <c r="AC8" s="14">
        <f t="shared" si="9"/>
        <v>1.0762852237062037</v>
      </c>
      <c r="AE8" s="172">
        <f t="shared" si="10"/>
        <v>7.5</v>
      </c>
      <c r="AF8">
        <f>Z4</f>
        <v>0.65</v>
      </c>
      <c r="AG8">
        <f t="shared" si="15"/>
        <v>6500</v>
      </c>
      <c r="AH8" s="16">
        <f>Z5</f>
        <v>0.49566861204376367</v>
      </c>
      <c r="AI8" s="16">
        <f t="shared" si="11"/>
        <v>0.27575832559201841</v>
      </c>
      <c r="AJ8" s="16">
        <f t="shared" si="12"/>
        <v>0.41187949552275294</v>
      </c>
      <c r="AK8" s="16">
        <f t="shared" si="13"/>
        <v>-2.6839554132560228</v>
      </c>
      <c r="AL8" s="16">
        <f t="shared" si="14"/>
        <v>1.312306720300926</v>
      </c>
      <c r="AM8" s="66">
        <f t="shared" si="16"/>
        <v>0.96819118986018826</v>
      </c>
    </row>
    <row r="9" spans="1:39" x14ac:dyDescent="0.2">
      <c r="A9" s="155" t="s">
        <v>172</v>
      </c>
      <c r="B9" s="156">
        <v>6300</v>
      </c>
      <c r="C9" s="155" t="s">
        <v>153</v>
      </c>
      <c r="P9" s="172">
        <f t="shared" si="20"/>
        <v>-0.70000000000000007</v>
      </c>
      <c r="Q9" s="16">
        <f t="shared" si="17"/>
        <v>23.18</v>
      </c>
      <c r="R9" s="180">
        <f t="shared" si="0"/>
        <v>13.508867577906448</v>
      </c>
      <c r="S9" s="180">
        <f t="shared" si="18"/>
        <v>76.491132422093557</v>
      </c>
      <c r="T9" s="180">
        <f t="shared" si="1"/>
        <v>-5.5371712790863281</v>
      </c>
      <c r="U9" s="180">
        <f t="shared" si="2"/>
        <v>-59.216712353260448</v>
      </c>
      <c r="V9" s="180">
        <f t="shared" si="19"/>
        <v>120.78328764673955</v>
      </c>
      <c r="W9" s="180">
        <f t="shared" si="3"/>
        <v>7.6102174581416149</v>
      </c>
      <c r="X9">
        <f t="shared" si="4"/>
        <v>4.4856170270757927</v>
      </c>
      <c r="Y9">
        <f t="shared" si="5"/>
        <v>2.9646674858733282</v>
      </c>
      <c r="Z9">
        <f t="shared" si="6"/>
        <v>2.1073250139513173</v>
      </c>
      <c r="AA9">
        <f t="shared" si="7"/>
        <v>1.5757244819013752</v>
      </c>
      <c r="AB9">
        <f t="shared" si="8"/>
        <v>1.223108743741057</v>
      </c>
      <c r="AC9" s="14">
        <f t="shared" si="9"/>
        <v>0.97711915594553955</v>
      </c>
      <c r="AE9" s="172">
        <f t="shared" si="10"/>
        <v>7.5</v>
      </c>
      <c r="AF9">
        <f>AA4</f>
        <v>0.75</v>
      </c>
      <c r="AG9">
        <f t="shared" si="15"/>
        <v>7500</v>
      </c>
      <c r="AH9" s="16">
        <f>AA5</f>
        <v>0.37013596535562554</v>
      </c>
      <c r="AI9" s="16">
        <f t="shared" si="11"/>
        <v>0.205919986797229</v>
      </c>
      <c r="AJ9" s="16">
        <f t="shared" si="12"/>
        <v>0.30756721523460506</v>
      </c>
      <c r="AK9" s="16">
        <f t="shared" si="13"/>
        <v>-2.5102640733474799</v>
      </c>
      <c r="AL9" s="16">
        <f t="shared" si="14"/>
        <v>1.4859980602094693</v>
      </c>
      <c r="AM9" s="66">
        <f t="shared" si="16"/>
        <v>0.98200968760253615</v>
      </c>
    </row>
    <row r="10" spans="1:39" x14ac:dyDescent="0.2">
      <c r="A10" s="155" t="s">
        <v>151</v>
      </c>
      <c r="B10" s="165">
        <v>1</v>
      </c>
      <c r="C10" s="155" t="s">
        <v>150</v>
      </c>
      <c r="P10" s="172">
        <f t="shared" si="20"/>
        <v>-0.60000000000000009</v>
      </c>
      <c r="Q10" s="16">
        <f t="shared" si="17"/>
        <v>23.24</v>
      </c>
      <c r="R10" s="180">
        <f t="shared" si="0"/>
        <v>14.757816157701745</v>
      </c>
      <c r="S10" s="180">
        <f t="shared" si="18"/>
        <v>75.24218384229826</v>
      </c>
      <c r="T10" s="180">
        <f t="shared" si="1"/>
        <v>-5.4371712790863285</v>
      </c>
      <c r="U10" s="180">
        <f t="shared" si="2"/>
        <v>-59.405225500252712</v>
      </c>
      <c r="V10" s="180">
        <f t="shared" si="19"/>
        <v>120.59477449974729</v>
      </c>
      <c r="W10" s="180">
        <f t="shared" si="3"/>
        <v>6.9685807065548833</v>
      </c>
      <c r="X10">
        <f t="shared" si="4"/>
        <v>4.106340411332587</v>
      </c>
      <c r="Y10">
        <f t="shared" si="5"/>
        <v>2.7136762545190374</v>
      </c>
      <c r="Z10">
        <f t="shared" si="6"/>
        <v>1.9287959463291382</v>
      </c>
      <c r="AA10">
        <f t="shared" si="7"/>
        <v>1.4421770374583971</v>
      </c>
      <c r="AB10">
        <f t="shared" si="8"/>
        <v>1.1194188706802146</v>
      </c>
      <c r="AC10" s="14">
        <f t="shared" si="9"/>
        <v>0.8942679622956482</v>
      </c>
      <c r="AE10" s="172">
        <f t="shared" si="10"/>
        <v>7.5</v>
      </c>
      <c r="AF10">
        <f>AB4</f>
        <v>0.85</v>
      </c>
      <c r="AG10">
        <f t="shared" si="15"/>
        <v>8500</v>
      </c>
      <c r="AH10" s="16">
        <f>AB5</f>
        <v>0.28705698501486565</v>
      </c>
      <c r="AI10" s="16">
        <f t="shared" si="11"/>
        <v>0.15970015371924218</v>
      </c>
      <c r="AJ10" s="16">
        <f t="shared" si="12"/>
        <v>0.23853212267507121</v>
      </c>
      <c r="AK10" s="16">
        <f t="shared" si="13"/>
        <v>-2.3953131040632027</v>
      </c>
      <c r="AL10" s="16">
        <f t="shared" si="14"/>
        <v>1.6009490294937463</v>
      </c>
      <c r="AM10" s="66">
        <f t="shared" si="16"/>
        <v>0.98786283654832352</v>
      </c>
    </row>
    <row r="11" spans="1:39" ht="17" thickBot="1" x14ac:dyDescent="0.25">
      <c r="A11" s="155" t="s">
        <v>149</v>
      </c>
      <c r="B11" s="165">
        <v>2.4</v>
      </c>
      <c r="C11" s="155" t="s">
        <v>150</v>
      </c>
      <c r="P11" s="172">
        <f t="shared" si="20"/>
        <v>-0.50000000000000011</v>
      </c>
      <c r="Q11" s="16">
        <f t="shared" si="17"/>
        <v>23.3</v>
      </c>
      <c r="R11" s="180">
        <f t="shared" si="0"/>
        <v>16.009092613396618</v>
      </c>
      <c r="S11" s="180">
        <f t="shared" si="18"/>
        <v>73.990907386603382</v>
      </c>
      <c r="T11" s="180">
        <f t="shared" si="1"/>
        <v>-5.3371712790863279</v>
      </c>
      <c r="U11" s="180">
        <f t="shared" si="2"/>
        <v>-59.577524814902134</v>
      </c>
      <c r="V11" s="180">
        <f t="shared" si="19"/>
        <v>120.42247518509787</v>
      </c>
      <c r="W11" s="180">
        <f t="shared" si="3"/>
        <v>6.4240973765580938</v>
      </c>
      <c r="X11">
        <f t="shared" si="4"/>
        <v>3.7844919601347935</v>
      </c>
      <c r="Y11">
        <f t="shared" si="5"/>
        <v>2.5006888576627553</v>
      </c>
      <c r="Z11">
        <f t="shared" si="6"/>
        <v>1.7772988554911198</v>
      </c>
      <c r="AA11">
        <f t="shared" si="7"/>
        <v>1.328850677827258</v>
      </c>
      <c r="AB11">
        <f t="shared" si="8"/>
        <v>1.0314291985931723</v>
      </c>
      <c r="AC11" s="14">
        <f t="shared" si="9"/>
        <v>0.82396168120881141</v>
      </c>
      <c r="AE11" s="173">
        <f t="shared" si="10"/>
        <v>7.5</v>
      </c>
      <c r="AF11" s="9">
        <f>AC4</f>
        <v>0.95</v>
      </c>
      <c r="AG11" s="9">
        <f t="shared" si="15"/>
        <v>9500</v>
      </c>
      <c r="AH11" s="43">
        <f>AC5</f>
        <v>0.22918685321199156</v>
      </c>
      <c r="AI11" s="43">
        <f t="shared" si="11"/>
        <v>0.12750491226154625</v>
      </c>
      <c r="AJ11" s="43">
        <f t="shared" si="12"/>
        <v>0.190444509068627</v>
      </c>
      <c r="AK11" s="43">
        <f t="shared" si="13"/>
        <v>-2.3152419751679734</v>
      </c>
      <c r="AL11" s="43">
        <f t="shared" si="14"/>
        <v>1.6810201583889757</v>
      </c>
      <c r="AM11" s="78">
        <f t="shared" si="16"/>
        <v>0.99075083906566475</v>
      </c>
    </row>
    <row r="12" spans="1:39" ht="17" thickBot="1" x14ac:dyDescent="0.25">
      <c r="A12" s="155" t="s">
        <v>192</v>
      </c>
      <c r="B12" s="157">
        <v>180</v>
      </c>
      <c r="C12" s="155" t="s">
        <v>195</v>
      </c>
      <c r="P12" s="172">
        <f t="shared" si="20"/>
        <v>-0.40000000000000013</v>
      </c>
      <c r="Q12" s="16">
        <f t="shared" si="17"/>
        <v>23.36</v>
      </c>
      <c r="R12" s="180">
        <f t="shared" si="0"/>
        <v>17.262475989959128</v>
      </c>
      <c r="S12" s="180">
        <f t="shared" si="18"/>
        <v>72.737524010040872</v>
      </c>
      <c r="T12" s="180">
        <f t="shared" si="1"/>
        <v>-5.2371712790863283</v>
      </c>
      <c r="U12" s="180">
        <f t="shared" si="2"/>
        <v>-59.733452016156576</v>
      </c>
      <c r="V12" s="180">
        <f t="shared" si="19"/>
        <v>120.26654798384342</v>
      </c>
      <c r="W12" s="180">
        <f t="shared" si="3"/>
        <v>5.9559185239175312</v>
      </c>
      <c r="X12">
        <f t="shared" si="4"/>
        <v>3.5077476957937455</v>
      </c>
      <c r="Y12">
        <f t="shared" si="5"/>
        <v>2.3175497428478677</v>
      </c>
      <c r="Z12">
        <f t="shared" si="6"/>
        <v>1.6470327293135842</v>
      </c>
      <c r="AA12">
        <f t="shared" si="7"/>
        <v>1.2314059956799617</v>
      </c>
      <c r="AB12">
        <f t="shared" si="8"/>
        <v>0.95577049344571829</v>
      </c>
      <c r="AC12" s="14">
        <f t="shared" si="9"/>
        <v>0.76350819769655354</v>
      </c>
      <c r="AE12" s="16"/>
    </row>
    <row r="13" spans="1:39" ht="17" thickBot="1" x14ac:dyDescent="0.25">
      <c r="P13" s="172">
        <f t="shared" si="20"/>
        <v>-0.30000000000000016</v>
      </c>
      <c r="Q13" s="16">
        <f t="shared" si="17"/>
        <v>23.419999999999998</v>
      </c>
      <c r="R13" s="180">
        <f t="shared" si="0"/>
        <v>18.517746092311377</v>
      </c>
      <c r="S13" s="180">
        <f t="shared" si="18"/>
        <v>71.48225390768863</v>
      </c>
      <c r="T13" s="180">
        <f t="shared" si="1"/>
        <v>-5.1371712790863278</v>
      </c>
      <c r="U13" s="180">
        <f t="shared" si="2"/>
        <v>-59.872807020273143</v>
      </c>
      <c r="V13" s="180">
        <f t="shared" si="19"/>
        <v>120.12719297972686</v>
      </c>
      <c r="W13" s="180">
        <f t="shared" si="3"/>
        <v>5.5487585797749412</v>
      </c>
      <c r="X13">
        <f t="shared" si="4"/>
        <v>3.2670721963016938</v>
      </c>
      <c r="Y13">
        <f t="shared" si="5"/>
        <v>2.1582796020933461</v>
      </c>
      <c r="Z13">
        <f t="shared" si="6"/>
        <v>1.5337445097390086</v>
      </c>
      <c r="AA13">
        <f t="shared" si="7"/>
        <v>1.1466615201097552</v>
      </c>
      <c r="AB13">
        <f t="shared" si="8"/>
        <v>0.88997257457775891</v>
      </c>
      <c r="AC13" s="14">
        <f t="shared" si="9"/>
        <v>0.71093376629870242</v>
      </c>
      <c r="AH13" s="307" t="s">
        <v>179</v>
      </c>
      <c r="AI13" s="308"/>
      <c r="AJ13" s="309"/>
    </row>
    <row r="14" spans="1:39" x14ac:dyDescent="0.2">
      <c r="A14" s="155" t="s">
        <v>199</v>
      </c>
      <c r="B14" s="183">
        <f>U5</f>
        <v>56.197210931817928</v>
      </c>
      <c r="C14" s="155" t="s">
        <v>191</v>
      </c>
      <c r="P14" s="172">
        <f t="shared" si="20"/>
        <v>-0.20000000000000015</v>
      </c>
      <c r="Q14" s="16">
        <f t="shared" si="17"/>
        <v>23.48</v>
      </c>
      <c r="R14" s="180">
        <f t="shared" si="0"/>
        <v>19.774682681876556</v>
      </c>
      <c r="S14" s="180">
        <f t="shared" si="18"/>
        <v>70.225317318123444</v>
      </c>
      <c r="T14" s="180">
        <f t="shared" si="1"/>
        <v>-5.0371712790863281</v>
      </c>
      <c r="U14" s="180">
        <f t="shared" si="2"/>
        <v>-59.99534569527075</v>
      </c>
      <c r="V14" s="180">
        <f t="shared" si="19"/>
        <v>120.00465430472926</v>
      </c>
      <c r="W14" s="180">
        <f t="shared" si="3"/>
        <v>5.1911559161484551</v>
      </c>
      <c r="X14">
        <f t="shared" si="4"/>
        <v>3.0556904016872122</v>
      </c>
      <c r="Y14">
        <f t="shared" si="5"/>
        <v>2.0183949513821346</v>
      </c>
      <c r="Z14">
        <f t="shared" si="6"/>
        <v>1.4342451123641458</v>
      </c>
      <c r="AA14">
        <f t="shared" si="7"/>
        <v>1.0722316784038071</v>
      </c>
      <c r="AB14">
        <f t="shared" si="8"/>
        <v>0.83218321836343168</v>
      </c>
      <c r="AC14" s="14">
        <f t="shared" si="9"/>
        <v>0.66475840701548328</v>
      </c>
      <c r="AE14" s="23" t="s">
        <v>123</v>
      </c>
      <c r="AF14" s="281" t="s">
        <v>174</v>
      </c>
      <c r="AG14" s="281"/>
      <c r="AH14" s="335" t="s">
        <v>175</v>
      </c>
      <c r="AI14" s="335"/>
      <c r="AJ14" s="338" t="s">
        <v>176</v>
      </c>
      <c r="AK14" s="338"/>
      <c r="AL14" s="353" t="s">
        <v>177</v>
      </c>
      <c r="AM14" s="354"/>
    </row>
    <row r="15" spans="1:39" x14ac:dyDescent="0.2">
      <c r="A15" s="155" t="s">
        <v>188</v>
      </c>
      <c r="B15" s="184">
        <f>IF(U5&lt;0,U5+180,U5-180)</f>
        <v>-123.80278906818208</v>
      </c>
      <c r="C15" s="155" t="s">
        <v>196</v>
      </c>
      <c r="P15" s="172">
        <f t="shared" si="20"/>
        <v>-0.10000000000000014</v>
      </c>
      <c r="Q15" s="16">
        <f t="shared" si="17"/>
        <v>23.54</v>
      </c>
      <c r="R15" s="180">
        <f t="shared" si="0"/>
        <v>21.03306463866701</v>
      </c>
      <c r="S15" s="180">
        <f t="shared" si="18"/>
        <v>68.966935361332986</v>
      </c>
      <c r="T15" s="180">
        <f t="shared" si="1"/>
        <v>-4.9371712790863285</v>
      </c>
      <c r="U15" s="180">
        <f t="shared" si="2"/>
        <v>-60.100777323726419</v>
      </c>
      <c r="V15" s="180">
        <f t="shared" si="19"/>
        <v>119.89922267627358</v>
      </c>
      <c r="W15" s="180">
        <f t="shared" si="3"/>
        <v>4.8743476293310453</v>
      </c>
      <c r="X15">
        <f t="shared" si="4"/>
        <v>2.8684224894824233</v>
      </c>
      <c r="Y15">
        <f t="shared" si="5"/>
        <v>1.8944679758544607</v>
      </c>
      <c r="Z15">
        <f t="shared" si="6"/>
        <v>1.3460963460713427</v>
      </c>
      <c r="AA15">
        <f t="shared" si="7"/>
        <v>1.0062925984209421</v>
      </c>
      <c r="AB15">
        <f t="shared" si="8"/>
        <v>0.7809863207987513</v>
      </c>
      <c r="AC15" s="14">
        <f t="shared" si="9"/>
        <v>0.62385061198022407</v>
      </c>
      <c r="AE15" s="24">
        <v>0</v>
      </c>
      <c r="AF15" s="16">
        <f t="shared" ref="AF15:AF28" si="21">$AI$5+$B$10/2*COS(RADIANS(AE15))</f>
        <v>1.5113603948341292</v>
      </c>
      <c r="AG15" s="16">
        <f t="shared" ref="AG15:AG28" si="22">$AJ$5+$B$10/2*SIN(RADIANS(AE15))</f>
        <v>1.510593046725514</v>
      </c>
      <c r="AH15" s="16">
        <f t="shared" ref="AH15:AH28" si="23">$AI$6+$B$10/2*COS(RADIANS(AE15))</f>
        <v>1.0906779829797473</v>
      </c>
      <c r="AI15" s="16">
        <f t="shared" ref="AI15:AI28" si="24">$AJ$6+$B$10/2*SIN(RADIANS(AE15))</f>
        <v>0.88225133048580295</v>
      </c>
      <c r="AJ15" s="16">
        <f t="shared" ref="AJ15:AJ28" si="25">$AI$7+$B$10/2*COS(RADIANS(AE15))</f>
        <v>0.88880374353620861</v>
      </c>
      <c r="AK15" s="16">
        <f t="shared" ref="AK15:AK28" si="26">$AJ$7+$B$10/2*SIN(RADIANS(AE15))</f>
        <v>0.58072694415028225</v>
      </c>
      <c r="AL15" s="16">
        <f t="shared" ref="AL15:AL28" si="27">$AI$11+$B$10/2*COS(RADIANS(AE15))</f>
        <v>0.62750491226154625</v>
      </c>
      <c r="AM15" s="66">
        <f t="shared" ref="AM15:AM28" si="28">$AJ$11+$B$10/2*SIN(RADIANS(AE15))</f>
        <v>0.190444509068627</v>
      </c>
    </row>
    <row r="16" spans="1:39" x14ac:dyDescent="0.2">
      <c r="A16" s="155" t="s">
        <v>159</v>
      </c>
      <c r="B16" s="185">
        <f>B12-U5</f>
        <v>123.80278906818208</v>
      </c>
      <c r="C16" s="155" t="s">
        <v>4</v>
      </c>
      <c r="P16" s="172">
        <f t="shared" si="20"/>
        <v>-1.3877787807814457E-16</v>
      </c>
      <c r="Q16" s="16">
        <f t="shared" si="17"/>
        <v>24</v>
      </c>
      <c r="R16" s="180">
        <f t="shared" si="0"/>
        <v>22.292669081441705</v>
      </c>
      <c r="S16" s="180">
        <f t="shared" si="18"/>
        <v>67.707330918558299</v>
      </c>
      <c r="T16" s="180">
        <f t="shared" si="1"/>
        <v>-4.8371712790863279</v>
      </c>
      <c r="U16" s="180">
        <f t="shared" si="2"/>
        <v>-60.188761741709179</v>
      </c>
      <c r="V16" s="180">
        <f t="shared" si="19"/>
        <v>119.81123825829081</v>
      </c>
      <c r="W16" s="180">
        <f t="shared" si="3"/>
        <v>4.5915195721685924</v>
      </c>
      <c r="X16">
        <f t="shared" si="4"/>
        <v>2.7012405628042395</v>
      </c>
      <c r="Y16">
        <f t="shared" si="5"/>
        <v>1.7838331623821995</v>
      </c>
      <c r="Z16">
        <f t="shared" si="6"/>
        <v>1.2674022419419599</v>
      </c>
      <c r="AA16">
        <f t="shared" si="7"/>
        <v>0.94742601361667</v>
      </c>
      <c r="AB16">
        <f t="shared" si="8"/>
        <v>0.73528070111176058</v>
      </c>
      <c r="AC16" s="14">
        <f t="shared" si="9"/>
        <v>0.58733050605480563</v>
      </c>
      <c r="AE16" s="24">
        <f t="shared" ref="AE16:AE27" si="29">AE15+30</f>
        <v>30</v>
      </c>
      <c r="AF16" s="16">
        <f t="shared" si="21"/>
        <v>1.4443730967263486</v>
      </c>
      <c r="AG16" s="16">
        <f t="shared" si="22"/>
        <v>1.760593046725514</v>
      </c>
      <c r="AH16" s="16">
        <f t="shared" si="23"/>
        <v>1.0236906848719665</v>
      </c>
      <c r="AI16" s="16">
        <f t="shared" si="24"/>
        <v>1.1322513304858028</v>
      </c>
      <c r="AJ16" s="16">
        <f t="shared" si="25"/>
        <v>0.82181644542842802</v>
      </c>
      <c r="AK16" s="16">
        <f t="shared" si="26"/>
        <v>0.83072694415028225</v>
      </c>
      <c r="AL16" s="16">
        <f t="shared" si="27"/>
        <v>0.56051761415376555</v>
      </c>
      <c r="AM16" s="66">
        <f t="shared" si="28"/>
        <v>0.44044450906862698</v>
      </c>
    </row>
    <row r="17" spans="1:39" x14ac:dyDescent="0.2">
      <c r="P17" s="172">
        <f t="shared" si="20"/>
        <v>9.9999999999999867E-2</v>
      </c>
      <c r="Q17" s="16">
        <f t="shared" si="17"/>
        <v>5.9999999999999915E-2</v>
      </c>
      <c r="R17" s="180">
        <f t="shared" si="0"/>
        <v>23.553270437590211</v>
      </c>
      <c r="S17" s="180">
        <f t="shared" si="18"/>
        <v>66.446729562409786</v>
      </c>
      <c r="T17" s="180">
        <f t="shared" si="1"/>
        <v>-4.7371712790863283</v>
      </c>
      <c r="U17" s="180">
        <f t="shared" si="2"/>
        <v>-60.258906117622047</v>
      </c>
      <c r="V17" s="180">
        <f t="shared" si="19"/>
        <v>119.74109388237795</v>
      </c>
      <c r="W17" s="180">
        <f t="shared" si="3"/>
        <v>4.3372933275823815</v>
      </c>
      <c r="X17">
        <f t="shared" si="4"/>
        <v>2.5509653963002696</v>
      </c>
      <c r="Y17">
        <f t="shared" si="5"/>
        <v>1.6843866172560431</v>
      </c>
      <c r="Z17">
        <f t="shared" si="6"/>
        <v>1.1966663087230081</v>
      </c>
      <c r="AA17">
        <f t="shared" si="7"/>
        <v>0.89451248397413574</v>
      </c>
      <c r="AB17">
        <f t="shared" si="8"/>
        <v>0.69419719558516713</v>
      </c>
      <c r="AC17" s="14">
        <f t="shared" si="9"/>
        <v>0.55450360240720542</v>
      </c>
      <c r="AE17" s="24">
        <f t="shared" si="29"/>
        <v>60</v>
      </c>
      <c r="AF17" s="16">
        <f t="shared" si="21"/>
        <v>1.2613603948341292</v>
      </c>
      <c r="AG17" s="16">
        <f t="shared" si="22"/>
        <v>1.9436057486177334</v>
      </c>
      <c r="AH17" s="16">
        <f t="shared" si="23"/>
        <v>0.84067798297974727</v>
      </c>
      <c r="AI17" s="16">
        <f t="shared" si="24"/>
        <v>1.3152640323780223</v>
      </c>
      <c r="AJ17" s="16">
        <f t="shared" si="25"/>
        <v>0.63880374353620861</v>
      </c>
      <c r="AK17" s="16">
        <f t="shared" si="26"/>
        <v>1.0137396460425014</v>
      </c>
      <c r="AL17" s="16">
        <f t="shared" si="27"/>
        <v>0.37750491226154631</v>
      </c>
      <c r="AM17" s="66">
        <f t="shared" si="28"/>
        <v>0.62345721096084628</v>
      </c>
    </row>
    <row r="18" spans="1:39" x14ac:dyDescent="0.2">
      <c r="A18" s="155" t="s">
        <v>173</v>
      </c>
      <c r="B18" s="163">
        <v>3269</v>
      </c>
      <c r="C18" s="155" t="s">
        <v>154</v>
      </c>
      <c r="P18" s="172">
        <f t="shared" si="20"/>
        <v>0.19999999999999987</v>
      </c>
      <c r="Q18" s="16">
        <f t="shared" si="17"/>
        <v>0.11999999999999991</v>
      </c>
      <c r="R18" s="180">
        <f t="shared" si="0"/>
        <v>24.81463945338497</v>
      </c>
      <c r="S18" s="180">
        <f t="shared" si="18"/>
        <v>65.18536054661503</v>
      </c>
      <c r="T18" s="180">
        <f t="shared" si="1"/>
        <v>-4.6371712790863278</v>
      </c>
      <c r="U18" s="180">
        <f t="shared" si="2"/>
        <v>-60.310761330119917</v>
      </c>
      <c r="V18" s="180">
        <f t="shared" si="19"/>
        <v>119.68923866988008</v>
      </c>
      <c r="W18" s="180">
        <f t="shared" si="3"/>
        <v>4.1073671612051106</v>
      </c>
      <c r="X18">
        <f t="shared" si="4"/>
        <v>2.4150542003802635</v>
      </c>
      <c r="Y18">
        <f t="shared" si="5"/>
        <v>1.5944456164064338</v>
      </c>
      <c r="Z18">
        <f t="shared" si="6"/>
        <v>1.1326916314562125</v>
      </c>
      <c r="AA18">
        <f t="shared" si="7"/>
        <v>0.84665666546885032</v>
      </c>
      <c r="AB18">
        <f t="shared" si="8"/>
        <v>0.65704063473345808</v>
      </c>
      <c r="AC18" s="14">
        <f t="shared" si="9"/>
        <v>0.52481444060562277</v>
      </c>
      <c r="AE18" s="24">
        <f t="shared" si="29"/>
        <v>90</v>
      </c>
      <c r="AF18" s="16">
        <f t="shared" si="21"/>
        <v>1.0113603948341292</v>
      </c>
      <c r="AG18" s="16">
        <f t="shared" si="22"/>
        <v>2.0105930467255142</v>
      </c>
      <c r="AH18" s="16">
        <f t="shared" si="23"/>
        <v>0.59067798297974716</v>
      </c>
      <c r="AI18" s="16">
        <f t="shared" si="24"/>
        <v>1.3822513304858028</v>
      </c>
      <c r="AJ18" s="16">
        <f t="shared" si="25"/>
        <v>0.38880374353620867</v>
      </c>
      <c r="AK18" s="16">
        <f t="shared" si="26"/>
        <v>1.0807269441502823</v>
      </c>
      <c r="AL18" s="16">
        <f t="shared" si="27"/>
        <v>0.12750491226154628</v>
      </c>
      <c r="AM18" s="66">
        <f t="shared" si="28"/>
        <v>0.69044450906862698</v>
      </c>
    </row>
    <row r="19" spans="1:39" x14ac:dyDescent="0.2">
      <c r="A19" s="155" t="s">
        <v>155</v>
      </c>
      <c r="B19" s="164">
        <v>2</v>
      </c>
      <c r="C19" s="155" t="s">
        <v>156</v>
      </c>
      <c r="P19" s="172">
        <f t="shared" si="20"/>
        <v>0.29999999999999988</v>
      </c>
      <c r="Q19" s="16">
        <f t="shared" si="17"/>
        <v>0.17999999999999991</v>
      </c>
      <c r="R19" s="180">
        <f t="shared" si="0"/>
        <v>26.076542134057803</v>
      </c>
      <c r="S19" s="180">
        <f t="shared" si="18"/>
        <v>63.923457865942197</v>
      </c>
      <c r="T19" s="180">
        <f t="shared" si="1"/>
        <v>-4.5371712790863281</v>
      </c>
      <c r="U19" s="180">
        <f t="shared" si="2"/>
        <v>-60.343817899018021</v>
      </c>
      <c r="V19" s="180">
        <f t="shared" si="19"/>
        <v>119.65618210098198</v>
      </c>
      <c r="W19" s="180">
        <f t="shared" si="3"/>
        <v>3.8982596079084306</v>
      </c>
      <c r="X19">
        <f t="shared" si="4"/>
        <v>2.2914490531617191</v>
      </c>
      <c r="Y19">
        <f t="shared" si="5"/>
        <v>1.5126483032730664</v>
      </c>
      <c r="Z19">
        <f t="shared" si="6"/>
        <v>1.0745095269703147</v>
      </c>
      <c r="AA19">
        <f t="shared" si="7"/>
        <v>0.80313394129908233</v>
      </c>
      <c r="AB19">
        <f t="shared" si="8"/>
        <v>0.6232484063366639</v>
      </c>
      <c r="AC19" s="14">
        <f t="shared" si="9"/>
        <v>0.49781347728954883</v>
      </c>
      <c r="AE19" s="24">
        <f t="shared" si="29"/>
        <v>120</v>
      </c>
      <c r="AF19" s="16">
        <f t="shared" si="21"/>
        <v>0.76136039483412932</v>
      </c>
      <c r="AG19" s="16">
        <f t="shared" si="22"/>
        <v>1.9436057486177334</v>
      </c>
      <c r="AH19" s="16">
        <f t="shared" si="23"/>
        <v>0.34067798297974727</v>
      </c>
      <c r="AI19" s="16">
        <f t="shared" si="24"/>
        <v>1.3152640323780223</v>
      </c>
      <c r="AJ19" s="16">
        <f t="shared" si="25"/>
        <v>0.13880374353620872</v>
      </c>
      <c r="AK19" s="16">
        <f t="shared" si="26"/>
        <v>1.0137396460425017</v>
      </c>
      <c r="AL19" s="16">
        <f t="shared" si="27"/>
        <v>-0.12249508773845363</v>
      </c>
      <c r="AM19" s="66">
        <f t="shared" si="28"/>
        <v>0.62345721096084639</v>
      </c>
    </row>
    <row r="20" spans="1:39" x14ac:dyDescent="0.2">
      <c r="A20" s="155" t="s">
        <v>157</v>
      </c>
      <c r="B20" s="158">
        <f>EXP(-B18/8400)*288/(273+B19)</f>
        <v>0.70965433174490722</v>
      </c>
      <c r="C20" s="155"/>
      <c r="P20" s="172">
        <f t="shared" si="20"/>
        <v>0.39999999999999991</v>
      </c>
      <c r="Q20" s="16">
        <f t="shared" si="17"/>
        <v>0.23999999999999994</v>
      </c>
      <c r="R20" s="180">
        <f t="shared" si="0"/>
        <v>27.338738601774644</v>
      </c>
      <c r="S20" s="180">
        <f t="shared" si="18"/>
        <v>62.661261398225356</v>
      </c>
      <c r="T20" s="180">
        <f t="shared" si="1"/>
        <v>-4.4371712790863285</v>
      </c>
      <c r="U20" s="180">
        <f t="shared" si="2"/>
        <v>-60.357501417121938</v>
      </c>
      <c r="V20" s="180">
        <f t="shared" si="19"/>
        <v>119.64249858287806</v>
      </c>
      <c r="W20" s="180">
        <f t="shared" si="3"/>
        <v>3.7071230249968905</v>
      </c>
      <c r="X20">
        <f t="shared" si="4"/>
        <v>2.1784666902715997</v>
      </c>
      <c r="Y20">
        <f t="shared" si="5"/>
        <v>1.4378807557733588</v>
      </c>
      <c r="Z20">
        <f t="shared" si="6"/>
        <v>1.0213276669049407</v>
      </c>
      <c r="AA20">
        <f t="shared" si="7"/>
        <v>0.76335161566970444</v>
      </c>
      <c r="AB20">
        <f t="shared" si="8"/>
        <v>0.5923603252372418</v>
      </c>
      <c r="AC20" s="14">
        <f t="shared" si="9"/>
        <v>0.47313301127007401</v>
      </c>
      <c r="AE20" s="24">
        <f t="shared" si="29"/>
        <v>150</v>
      </c>
      <c r="AF20" s="16">
        <f t="shared" si="21"/>
        <v>0.5783476929419098</v>
      </c>
      <c r="AG20" s="16">
        <f t="shared" si="22"/>
        <v>1.760593046725514</v>
      </c>
      <c r="AH20" s="16">
        <f t="shared" si="23"/>
        <v>0.15766528108752781</v>
      </c>
      <c r="AI20" s="16">
        <f t="shared" si="24"/>
        <v>1.1322513304858028</v>
      </c>
      <c r="AJ20" s="16">
        <f t="shared" si="25"/>
        <v>-4.4208958356010741E-2</v>
      </c>
      <c r="AK20" s="16">
        <f t="shared" si="26"/>
        <v>0.83072694415028225</v>
      </c>
      <c r="AL20" s="16">
        <f t="shared" si="27"/>
        <v>-0.3055077896306731</v>
      </c>
      <c r="AM20" s="66">
        <f t="shared" si="28"/>
        <v>0.44044450906862698</v>
      </c>
    </row>
    <row r="21" spans="1:39" x14ac:dyDescent="0.2">
      <c r="P21" s="172">
        <f t="shared" si="20"/>
        <v>0.49999999999999989</v>
      </c>
      <c r="Q21" s="16">
        <f t="shared" si="17"/>
        <v>0.29999999999999993</v>
      </c>
      <c r="R21" s="180">
        <f t="shared" si="0"/>
        <v>28.600981857965639</v>
      </c>
      <c r="S21" s="180">
        <f t="shared" si="18"/>
        <v>61.399018142034365</v>
      </c>
      <c r="T21" s="180">
        <f t="shared" si="1"/>
        <v>-4.3371712790863279</v>
      </c>
      <c r="U21" s="180">
        <f t="shared" si="2"/>
        <v>-60.351167424109597</v>
      </c>
      <c r="V21" s="180">
        <f t="shared" si="19"/>
        <v>119.6488325758904</v>
      </c>
      <c r="W21" s="180">
        <f t="shared" si="3"/>
        <v>3.5316058115190758</v>
      </c>
      <c r="X21">
        <f t="shared" si="4"/>
        <v>2.074717061579165</v>
      </c>
      <c r="Y21">
        <f t="shared" si="5"/>
        <v>1.3692230901615787</v>
      </c>
      <c r="Z21">
        <f t="shared" si="6"/>
        <v>0.97249174159930996</v>
      </c>
      <c r="AA21">
        <f t="shared" si="7"/>
        <v>0.72682023672710294</v>
      </c>
      <c r="AB21">
        <f t="shared" si="8"/>
        <v>0.56399636768571226</v>
      </c>
      <c r="AC21" s="14">
        <f t="shared" si="9"/>
        <v>0.45046939263105645</v>
      </c>
      <c r="AE21" s="24">
        <f t="shared" si="29"/>
        <v>180</v>
      </c>
      <c r="AF21" s="16">
        <f t="shared" si="21"/>
        <v>0.51136039483412921</v>
      </c>
      <c r="AG21" s="16">
        <f t="shared" si="22"/>
        <v>1.510593046725514</v>
      </c>
      <c r="AH21" s="16">
        <f t="shared" si="23"/>
        <v>9.0677982979747163E-2</v>
      </c>
      <c r="AI21" s="16">
        <f t="shared" si="24"/>
        <v>0.88225133048580306</v>
      </c>
      <c r="AJ21" s="16">
        <f t="shared" si="25"/>
        <v>-0.11119625646379139</v>
      </c>
      <c r="AK21" s="16">
        <f t="shared" si="26"/>
        <v>0.58072694415028236</v>
      </c>
      <c r="AL21" s="16">
        <f t="shared" si="27"/>
        <v>-0.37249508773845375</v>
      </c>
      <c r="AM21" s="66">
        <f t="shared" si="28"/>
        <v>0.19044450906862706</v>
      </c>
    </row>
    <row r="22" spans="1:39" x14ac:dyDescent="0.2">
      <c r="A22" t="s">
        <v>7</v>
      </c>
      <c r="B22">
        <f>Calcs!$B$3</f>
        <v>32.700000000000003</v>
      </c>
      <c r="C22" t="s">
        <v>4</v>
      </c>
      <c r="P22" s="172">
        <f t="shared" si="20"/>
        <v>0.59999999999999987</v>
      </c>
      <c r="Q22" s="16">
        <f t="shared" si="17"/>
        <v>0.35999999999999993</v>
      </c>
      <c r="R22" s="180">
        <f t="shared" si="0"/>
        <v>29.863016434581354</v>
      </c>
      <c r="S22" s="180">
        <f t="shared" si="18"/>
        <v>60.136983565418646</v>
      </c>
      <c r="T22" s="180">
        <f t="shared" si="1"/>
        <v>-4.2371712790863283</v>
      </c>
      <c r="U22" s="180">
        <f t="shared" si="2"/>
        <v>-60.324095655881365</v>
      </c>
      <c r="V22" s="180">
        <f t="shared" si="19"/>
        <v>119.67590434411863</v>
      </c>
      <c r="W22" s="180">
        <f t="shared" si="3"/>
        <v>3.3697490959135576</v>
      </c>
      <c r="X22">
        <f t="shared" si="4"/>
        <v>1.9790422624371877</v>
      </c>
      <c r="Y22">
        <f t="shared" si="5"/>
        <v>1.3059090479837767</v>
      </c>
      <c r="Z22">
        <f t="shared" si="6"/>
        <v>0.92745671445352562</v>
      </c>
      <c r="AA22">
        <f t="shared" si="7"/>
        <v>0.69313209358131722</v>
      </c>
      <c r="AB22">
        <f t="shared" si="8"/>
        <v>0.53783997584301024</v>
      </c>
      <c r="AC22" s="14">
        <f t="shared" si="9"/>
        <v>0.42956968254586281</v>
      </c>
      <c r="AE22" s="24">
        <f t="shared" si="29"/>
        <v>210</v>
      </c>
      <c r="AF22" s="16">
        <f t="shared" si="21"/>
        <v>0.57834769294190991</v>
      </c>
      <c r="AG22" s="16">
        <f t="shared" si="22"/>
        <v>1.260593046725514</v>
      </c>
      <c r="AH22" s="16">
        <f t="shared" si="23"/>
        <v>0.15766528108752786</v>
      </c>
      <c r="AI22" s="16">
        <f t="shared" si="24"/>
        <v>0.63225133048580284</v>
      </c>
      <c r="AJ22" s="16">
        <f t="shared" si="25"/>
        <v>-4.4208958356010686E-2</v>
      </c>
      <c r="AK22" s="16">
        <f t="shared" si="26"/>
        <v>0.3307269441502822</v>
      </c>
      <c r="AL22" s="16">
        <f t="shared" si="27"/>
        <v>-0.30550778963067304</v>
      </c>
      <c r="AM22" s="66">
        <f t="shared" si="28"/>
        <v>-5.9555490931373051E-2</v>
      </c>
    </row>
    <row r="23" spans="1:39" x14ac:dyDescent="0.2">
      <c r="A23" t="s">
        <v>2</v>
      </c>
      <c r="B23" s="35">
        <f>IF(B4="",NA(),INT(B4) + 100*MOD(B4,1)/60)</f>
        <v>7.9833333333333334</v>
      </c>
      <c r="C23" t="s">
        <v>256</v>
      </c>
      <c r="P23" s="172">
        <f t="shared" si="20"/>
        <v>0.69999999999999984</v>
      </c>
      <c r="Q23" s="16">
        <f t="shared" si="17"/>
        <v>0.41999999999999987</v>
      </c>
      <c r="R23" s="180">
        <f t="shared" si="0"/>
        <v>31.124576916636872</v>
      </c>
      <c r="S23" s="180">
        <f t="shared" si="18"/>
        <v>58.875423083363131</v>
      </c>
      <c r="T23" s="180">
        <f t="shared" si="1"/>
        <v>-4.1371712790863278</v>
      </c>
      <c r="U23" s="180">
        <f t="shared" si="2"/>
        <v>-60.275483594070927</v>
      </c>
      <c r="V23" s="180">
        <f t="shared" si="19"/>
        <v>119.72451640592908</v>
      </c>
      <c r="W23" s="180">
        <f t="shared" si="3"/>
        <v>3.2199082391842131</v>
      </c>
      <c r="X23">
        <f t="shared" si="4"/>
        <v>1.8904701335810579</v>
      </c>
      <c r="Y23">
        <f t="shared" si="5"/>
        <v>1.247295290207783</v>
      </c>
      <c r="Z23">
        <f t="shared" si="6"/>
        <v>0.88576498096499823</v>
      </c>
      <c r="AA23">
        <f t="shared" si="7"/>
        <v>0.66194487832305049</v>
      </c>
      <c r="AB23">
        <f t="shared" si="8"/>
        <v>0.51362537252552332</v>
      </c>
      <c r="AC23" s="14">
        <f t="shared" si="9"/>
        <v>0.41022151739346424</v>
      </c>
      <c r="AE23" s="24">
        <f t="shared" si="29"/>
        <v>240</v>
      </c>
      <c r="AF23" s="16">
        <f t="shared" si="21"/>
        <v>0.76136039483412898</v>
      </c>
      <c r="AG23" s="16">
        <f t="shared" si="22"/>
        <v>1.0775803448332948</v>
      </c>
      <c r="AH23" s="16">
        <f t="shared" si="23"/>
        <v>0.34067798297974694</v>
      </c>
      <c r="AI23" s="16">
        <f t="shared" si="24"/>
        <v>0.44923862859358377</v>
      </c>
      <c r="AJ23" s="16">
        <f t="shared" si="25"/>
        <v>0.13880374353620839</v>
      </c>
      <c r="AK23" s="16">
        <f t="shared" si="26"/>
        <v>0.14771424225806307</v>
      </c>
      <c r="AL23" s="16">
        <f t="shared" si="27"/>
        <v>-0.12249508773845397</v>
      </c>
      <c r="AM23" s="66">
        <f t="shared" si="28"/>
        <v>-0.24256819282359218</v>
      </c>
    </row>
    <row r="24" spans="1:39" x14ac:dyDescent="0.2">
      <c r="A24" t="s">
        <v>1</v>
      </c>
      <c r="B24" s="35">
        <f>IF(B5="",NA(),IF(B5&gt;0,INT(B5) + 100*MOD(B5,1)/60,-INT(-B5) - 100*MOD(-B5,1)/60))</f>
        <v>14.483333333333333</v>
      </c>
      <c r="C24" t="s">
        <v>123</v>
      </c>
      <c r="P24" s="172">
        <f t="shared" si="20"/>
        <v>0.79999999999999982</v>
      </c>
      <c r="Q24" s="16">
        <f t="shared" si="17"/>
        <v>0.47999999999999987</v>
      </c>
      <c r="R24" s="180">
        <f t="shared" si="0"/>
        <v>32.385386315823233</v>
      </c>
      <c r="S24" s="180">
        <f t="shared" si="18"/>
        <v>57.614613684176767</v>
      </c>
      <c r="T24" s="180">
        <f t="shared" si="1"/>
        <v>-4.0371712790863281</v>
      </c>
      <c r="U24" s="180">
        <f t="shared" si="2"/>
        <v>-60.204439230572461</v>
      </c>
      <c r="V24" s="180">
        <f t="shared" si="19"/>
        <v>119.79556076942754</v>
      </c>
      <c r="W24" s="180">
        <f t="shared" si="3"/>
        <v>3.0806924720624838</v>
      </c>
      <c r="X24">
        <f t="shared" si="4"/>
        <v>1.8081785801726085</v>
      </c>
      <c r="Y24">
        <f t="shared" si="5"/>
        <v>1.1928377848865783</v>
      </c>
      <c r="Z24">
        <f t="shared" si="6"/>
        <v>0.84702957336702944</v>
      </c>
      <c r="AA24">
        <f t="shared" si="7"/>
        <v>0.63296912236876801</v>
      </c>
      <c r="AB24">
        <f t="shared" si="8"/>
        <v>0.4911278064412517</v>
      </c>
      <c r="AC24" s="14">
        <f t="shared" si="9"/>
        <v>0.39224531442130417</v>
      </c>
      <c r="AE24" s="24">
        <f t="shared" si="29"/>
        <v>270</v>
      </c>
      <c r="AF24" s="16">
        <f t="shared" si="21"/>
        <v>1.0113603948341292</v>
      </c>
      <c r="AG24" s="16">
        <f t="shared" si="22"/>
        <v>1.010593046725514</v>
      </c>
      <c r="AH24" s="16">
        <f t="shared" si="23"/>
        <v>0.59067798297974705</v>
      </c>
      <c r="AI24" s="16">
        <f t="shared" si="24"/>
        <v>0.38225133048580295</v>
      </c>
      <c r="AJ24" s="16">
        <f t="shared" si="25"/>
        <v>0.3888037435362085</v>
      </c>
      <c r="AK24" s="16">
        <f t="shared" si="26"/>
        <v>8.0726944150282254E-2</v>
      </c>
      <c r="AL24" s="16">
        <f t="shared" si="27"/>
        <v>0.12750491226154617</v>
      </c>
      <c r="AM24" s="66">
        <f t="shared" si="28"/>
        <v>-0.30955549093137302</v>
      </c>
    </row>
    <row r="25" spans="1:39" x14ac:dyDescent="0.2">
      <c r="A25" t="s">
        <v>16</v>
      </c>
      <c r="B25" s="16">
        <f>Calcs!$B$23</f>
        <v>3.1461620542470055</v>
      </c>
      <c r="C25" t="s">
        <v>122</v>
      </c>
      <c r="P25" s="172">
        <f t="shared" si="20"/>
        <v>0.8999999999999998</v>
      </c>
      <c r="Q25" s="16">
        <f t="shared" si="17"/>
        <v>0.53999999999999981</v>
      </c>
      <c r="R25" s="180">
        <f t="shared" si="0"/>
        <v>33.645154271942225</v>
      </c>
      <c r="S25" s="180">
        <f t="shared" si="18"/>
        <v>56.354845728057775</v>
      </c>
      <c r="T25" s="180">
        <f t="shared" si="1"/>
        <v>-3.9371712790863285</v>
      </c>
      <c r="U25" s="180">
        <f t="shared" si="2"/>
        <v>-60.10997295089539</v>
      </c>
      <c r="V25" s="180">
        <f t="shared" si="19"/>
        <v>119.89002704910462</v>
      </c>
      <c r="W25" s="180">
        <f t="shared" si="3"/>
        <v>2.9509179652011186</v>
      </c>
      <c r="X25">
        <f t="shared" si="4"/>
        <v>1.7314678312162828</v>
      </c>
      <c r="Y25">
        <f t="shared" si="5"/>
        <v>1.1420734494662947</v>
      </c>
      <c r="Z25">
        <f t="shared" si="6"/>
        <v>0.81092110287528596</v>
      </c>
      <c r="AA25">
        <f t="shared" si="7"/>
        <v>0.60595842869773953</v>
      </c>
      <c r="AB25">
        <f t="shared" si="8"/>
        <v>0.4701559682326209</v>
      </c>
      <c r="AC25" s="14">
        <f t="shared" si="9"/>
        <v>0.37548821194517412</v>
      </c>
      <c r="AE25" s="24">
        <f t="shared" si="29"/>
        <v>300</v>
      </c>
      <c r="AF25" s="16">
        <f t="shared" si="21"/>
        <v>1.2613603948341292</v>
      </c>
      <c r="AG25" s="16">
        <f t="shared" si="22"/>
        <v>1.0775803448332946</v>
      </c>
      <c r="AH25" s="16">
        <f t="shared" si="23"/>
        <v>0.84067798297974727</v>
      </c>
      <c r="AI25" s="16">
        <f t="shared" si="24"/>
        <v>0.44923862859358366</v>
      </c>
      <c r="AJ25" s="16">
        <f t="shared" si="25"/>
        <v>0.63880374353620861</v>
      </c>
      <c r="AK25" s="16">
        <f t="shared" si="26"/>
        <v>0.14771424225806296</v>
      </c>
      <c r="AL25" s="16">
        <f t="shared" si="27"/>
        <v>0.37750491226154631</v>
      </c>
      <c r="AM25" s="66">
        <f t="shared" si="28"/>
        <v>-0.24256819282359229</v>
      </c>
    </row>
    <row r="26" spans="1:39" x14ac:dyDescent="0.2">
      <c r="A26" s="155" t="s">
        <v>35</v>
      </c>
      <c r="B26" s="85">
        <f>INT(B7) + MOD(B7,1)/0.6</f>
        <v>7.5</v>
      </c>
      <c r="C26" t="s">
        <v>3</v>
      </c>
      <c r="P26" s="172">
        <f t="shared" si="20"/>
        <v>0.99999999999999978</v>
      </c>
      <c r="Q26" s="16">
        <f t="shared" si="17"/>
        <v>1.5999999999999999</v>
      </c>
      <c r="R26" s="180">
        <f t="shared" si="0"/>
        <v>34.903575055378809</v>
      </c>
      <c r="S26" s="180">
        <f t="shared" si="18"/>
        <v>55.096424944621191</v>
      </c>
      <c r="T26" s="180">
        <f t="shared" si="1"/>
        <v>-3.8371712790863279</v>
      </c>
      <c r="U26" s="180">
        <f t="shared" si="2"/>
        <v>-59.990988427822657</v>
      </c>
      <c r="V26" s="180">
        <f t="shared" si="19"/>
        <v>120.00901157217734</v>
      </c>
      <c r="W26" s="180">
        <f t="shared" si="3"/>
        <v>2.8295709752769662</v>
      </c>
      <c r="X26">
        <f t="shared" si="4"/>
        <v>1.6597386549257376</v>
      </c>
      <c r="Y26">
        <f t="shared" si="5"/>
        <v>1.0946057345218481</v>
      </c>
      <c r="Z26">
        <f t="shared" si="6"/>
        <v>0.77715750545611828</v>
      </c>
      <c r="AA26">
        <f t="shared" si="7"/>
        <v>0.58070180124436677</v>
      </c>
      <c r="AB26">
        <f t="shared" si="8"/>
        <v>0.45054603480777428</v>
      </c>
      <c r="AC26" s="14">
        <f t="shared" si="9"/>
        <v>0.35981931059846195</v>
      </c>
      <c r="AE26" s="24">
        <f t="shared" si="29"/>
        <v>330</v>
      </c>
      <c r="AF26" s="16">
        <f t="shared" si="21"/>
        <v>1.4443730967263484</v>
      </c>
      <c r="AG26" s="16">
        <f t="shared" si="22"/>
        <v>1.2605930467255138</v>
      </c>
      <c r="AH26" s="16">
        <f t="shared" si="23"/>
        <v>1.0236906848719665</v>
      </c>
      <c r="AI26" s="16">
        <f t="shared" si="24"/>
        <v>0.63225133048580273</v>
      </c>
      <c r="AJ26" s="16">
        <f t="shared" si="25"/>
        <v>0.8218164454284278</v>
      </c>
      <c r="AK26" s="16">
        <f t="shared" si="26"/>
        <v>0.33072694415028203</v>
      </c>
      <c r="AL26" s="16">
        <f t="shared" si="27"/>
        <v>0.56051761415376544</v>
      </c>
      <c r="AM26" s="66">
        <f t="shared" si="28"/>
        <v>-5.9555490931373217E-2</v>
      </c>
    </row>
    <row r="27" spans="1:39" x14ac:dyDescent="0.2">
      <c r="A27" t="s">
        <v>169</v>
      </c>
      <c r="B27" s="16">
        <f>MOD(B23-B25,24)</f>
        <v>4.8371712790863279</v>
      </c>
      <c r="C27" t="s">
        <v>3</v>
      </c>
      <c r="P27" s="172">
        <f t="shared" si="20"/>
        <v>1.0999999999999999</v>
      </c>
      <c r="Q27" s="16">
        <f t="shared" si="17"/>
        <v>1.0599999999999998</v>
      </c>
      <c r="R27" s="180">
        <f t="shared" si="0"/>
        <v>36.160325339678757</v>
      </c>
      <c r="S27" s="180">
        <f t="shared" si="18"/>
        <v>53.839674660321243</v>
      </c>
      <c r="T27" s="180">
        <f t="shared" si="1"/>
        <v>-3.7371712790863283</v>
      </c>
      <c r="U27" s="180">
        <f t="shared" si="2"/>
        <v>-59.846272403165578</v>
      </c>
      <c r="V27" s="180">
        <f t="shared" si="19"/>
        <v>120.15372759683441</v>
      </c>
      <c r="W27" s="180">
        <f t="shared" si="3"/>
        <v>2.7157786365995098</v>
      </c>
      <c r="X27">
        <f t="shared" si="4"/>
        <v>1.592475093410034</v>
      </c>
      <c r="Y27">
        <f t="shared" si="5"/>
        <v>1.050093198211062</v>
      </c>
      <c r="Z27">
        <f t="shared" si="6"/>
        <v>0.7454959148810848</v>
      </c>
      <c r="AA27">
        <f t="shared" si="7"/>
        <v>0.55701756559236648</v>
      </c>
      <c r="AB27">
        <f t="shared" si="8"/>
        <v>0.43215694920196496</v>
      </c>
      <c r="AC27" s="14">
        <f t="shared" si="9"/>
        <v>0.34512590180551872</v>
      </c>
      <c r="AE27" s="24">
        <f t="shared" si="29"/>
        <v>360</v>
      </c>
      <c r="AF27" s="16">
        <f t="shared" si="21"/>
        <v>1.5113603948341292</v>
      </c>
      <c r="AG27" s="16">
        <f t="shared" si="22"/>
        <v>1.5105930467255138</v>
      </c>
      <c r="AH27" s="16">
        <f t="shared" si="23"/>
        <v>1.0906779829797473</v>
      </c>
      <c r="AI27" s="16">
        <f t="shared" si="24"/>
        <v>0.88225133048580284</v>
      </c>
      <c r="AJ27" s="16">
        <f t="shared" si="25"/>
        <v>0.88880374353620861</v>
      </c>
      <c r="AK27" s="16">
        <f t="shared" si="26"/>
        <v>0.58072694415028214</v>
      </c>
      <c r="AL27" s="16">
        <f t="shared" si="27"/>
        <v>0.62750491226154625</v>
      </c>
      <c r="AM27" s="66">
        <f t="shared" si="28"/>
        <v>0.19044450906862689</v>
      </c>
    </row>
    <row r="28" spans="1:39" ht="17" thickBot="1" x14ac:dyDescent="0.25">
      <c r="A28" s="155" t="s">
        <v>152</v>
      </c>
      <c r="B28" s="175">
        <f>B10/2/SQRT(LN(2))</f>
        <v>0.60056120439322491</v>
      </c>
      <c r="C28" s="155" t="s">
        <v>150</v>
      </c>
      <c r="P28" s="172">
        <f t="shared" si="20"/>
        <v>1.2</v>
      </c>
      <c r="Q28" s="16">
        <f t="shared" si="17"/>
        <v>1.1199999999999999</v>
      </c>
      <c r="R28" s="180">
        <f t="shared" si="0"/>
        <v>37.41506170843946</v>
      </c>
      <c r="S28" s="180">
        <f t="shared" si="18"/>
        <v>52.58493829156054</v>
      </c>
      <c r="T28" s="180">
        <f t="shared" si="1"/>
        <v>-3.6371712790863278</v>
      </c>
      <c r="U28" s="180">
        <f t="shared" si="2"/>
        <v>-59.674483220370362</v>
      </c>
      <c r="V28" s="180">
        <f t="shared" si="19"/>
        <v>120.32551677962964</v>
      </c>
      <c r="W28" s="180">
        <f t="shared" si="3"/>
        <v>2.6087856165122187</v>
      </c>
      <c r="X28">
        <f t="shared" si="4"/>
        <v>1.5292306634946644</v>
      </c>
      <c r="Y28">
        <f t="shared" si="5"/>
        <v>1.0082403744885831</v>
      </c>
      <c r="Z28">
        <f t="shared" si="6"/>
        <v>0.71572616732371919</v>
      </c>
      <c r="AA28">
        <f t="shared" si="7"/>
        <v>0.53474851013293578</v>
      </c>
      <c r="AB28">
        <f t="shared" si="8"/>
        <v>0.41486664804042411</v>
      </c>
      <c r="AC28" s="14">
        <f t="shared" si="9"/>
        <v>0.33131045341588483</v>
      </c>
      <c r="AE28" s="26">
        <v>30</v>
      </c>
      <c r="AF28" s="43">
        <f t="shared" si="21"/>
        <v>1.4443730967263486</v>
      </c>
      <c r="AG28" s="43">
        <f t="shared" si="22"/>
        <v>1.760593046725514</v>
      </c>
      <c r="AH28" s="43">
        <f t="shared" si="23"/>
        <v>1.0236906848719665</v>
      </c>
      <c r="AI28" s="43">
        <f t="shared" si="24"/>
        <v>1.1322513304858028</v>
      </c>
      <c r="AJ28" s="43">
        <f t="shared" si="25"/>
        <v>0.82181644542842802</v>
      </c>
      <c r="AK28" s="43">
        <f t="shared" si="26"/>
        <v>0.83072694415028225</v>
      </c>
      <c r="AL28" s="43">
        <f t="shared" si="27"/>
        <v>0.56051761415376555</v>
      </c>
      <c r="AM28" s="78">
        <f t="shared" si="28"/>
        <v>0.44044450906862698</v>
      </c>
    </row>
    <row r="29" spans="1:39" ht="17" thickBot="1" x14ac:dyDescent="0.25">
      <c r="P29" s="172">
        <f t="shared" si="20"/>
        <v>1.3</v>
      </c>
      <c r="Q29" s="16">
        <f t="shared" si="17"/>
        <v>1.18</v>
      </c>
      <c r="R29" s="180">
        <f t="shared" si="0"/>
        <v>38.667417855032213</v>
      </c>
      <c r="S29" s="180">
        <f t="shared" si="18"/>
        <v>51.332582144967787</v>
      </c>
      <c r="T29" s="180">
        <f t="shared" si="1"/>
        <v>-3.5371712790863281</v>
      </c>
      <c r="U29" s="180">
        <f t="shared" si="2"/>
        <v>-59.474137954407922</v>
      </c>
      <c r="V29" s="180">
        <f t="shared" si="19"/>
        <v>120.52586204559208</v>
      </c>
      <c r="W29" s="180">
        <f t="shared" si="3"/>
        <v>2.5079353132565911</v>
      </c>
      <c r="X29">
        <f t="shared" si="4"/>
        <v>1.469617242628606</v>
      </c>
      <c r="Y29">
        <f t="shared" si="5"/>
        <v>0.96879041821038192</v>
      </c>
      <c r="Z29">
        <f t="shared" si="6"/>
        <v>0.68766556985152549</v>
      </c>
      <c r="AA29">
        <f t="shared" si="7"/>
        <v>0.51375797267107426</v>
      </c>
      <c r="AB29">
        <f t="shared" si="8"/>
        <v>0.39856902307292735</v>
      </c>
      <c r="AC29" s="14">
        <f t="shared" si="9"/>
        <v>0.31828818188293506</v>
      </c>
    </row>
    <row r="30" spans="1:39" ht="17" thickBot="1" x14ac:dyDescent="0.25">
      <c r="P30" s="172">
        <f t="shared" si="20"/>
        <v>1.4000000000000001</v>
      </c>
      <c r="Q30" s="16">
        <f t="shared" si="17"/>
        <v>1.24</v>
      </c>
      <c r="R30" s="180">
        <f t="shared" si="0"/>
        <v>39.917001427014263</v>
      </c>
      <c r="S30" s="180">
        <f t="shared" si="18"/>
        <v>50.082998572985737</v>
      </c>
      <c r="T30" s="180">
        <f t="shared" si="1"/>
        <v>-3.4371712790863276</v>
      </c>
      <c r="U30" s="180">
        <f t="shared" si="2"/>
        <v>-59.243597967960447</v>
      </c>
      <c r="V30" s="180">
        <f t="shared" si="19"/>
        <v>120.75640203203955</v>
      </c>
      <c r="W30" s="180">
        <f t="shared" si="3"/>
        <v>2.412654605917909</v>
      </c>
      <c r="X30">
        <f t="shared" si="4"/>
        <v>1.4132960544552859</v>
      </c>
      <c r="Y30">
        <f t="shared" si="5"/>
        <v>0.93151913971814448</v>
      </c>
      <c r="Z30">
        <f t="shared" si="6"/>
        <v>0.6611546572495105</v>
      </c>
      <c r="AA30">
        <f t="shared" si="7"/>
        <v>0.49392666634653271</v>
      </c>
      <c r="AB30">
        <f t="shared" si="8"/>
        <v>0.38317145673237185</v>
      </c>
      <c r="AC30" s="14">
        <f t="shared" si="9"/>
        <v>0.30598508310423511</v>
      </c>
      <c r="AE30" s="174" t="s">
        <v>178</v>
      </c>
      <c r="AF30" s="169"/>
      <c r="AJ30" s="307" t="s">
        <v>11</v>
      </c>
      <c r="AK30" s="308"/>
      <c r="AL30" s="309"/>
    </row>
    <row r="31" spans="1:39" ht="17" thickBot="1" x14ac:dyDescent="0.25">
      <c r="P31" s="172">
        <f t="shared" si="20"/>
        <v>1.5000000000000002</v>
      </c>
      <c r="Q31" s="16">
        <f t="shared" si="17"/>
        <v>1.3</v>
      </c>
      <c r="R31" s="180">
        <f t="shared" si="0"/>
        <v>41.163390459302605</v>
      </c>
      <c r="S31" s="180">
        <f t="shared" si="18"/>
        <v>48.836609540697395</v>
      </c>
      <c r="T31" s="180">
        <f t="shared" si="1"/>
        <v>-3.3371712790863279</v>
      </c>
      <c r="U31" s="180">
        <f t="shared" si="2"/>
        <v>-58.981052704785199</v>
      </c>
      <c r="V31" s="180">
        <f t="shared" si="19"/>
        <v>121.0189472952148</v>
      </c>
      <c r="W31" s="180">
        <f t="shared" si="3"/>
        <v>2.322441406833553</v>
      </c>
      <c r="X31">
        <f t="shared" si="4"/>
        <v>1.3599703109415782</v>
      </c>
      <c r="Y31">
        <f t="shared" si="5"/>
        <v>0.89623013567247822</v>
      </c>
      <c r="Z31">
        <f t="shared" si="6"/>
        <v>0.63605372860115039</v>
      </c>
      <c r="AA31">
        <f t="shared" si="7"/>
        <v>0.47515008884696153</v>
      </c>
      <c r="AB31">
        <f t="shared" si="8"/>
        <v>0.3685928105773052</v>
      </c>
      <c r="AC31" s="14">
        <f t="shared" si="9"/>
        <v>0.29433632512921148</v>
      </c>
      <c r="AE31" s="6">
        <v>-3</v>
      </c>
      <c r="AF31" s="14">
        <f>B11/2</f>
        <v>1.2</v>
      </c>
      <c r="AJ31" s="307" t="s">
        <v>181</v>
      </c>
      <c r="AK31" s="308"/>
      <c r="AL31" s="309"/>
    </row>
    <row r="32" spans="1:39" x14ac:dyDescent="0.2">
      <c r="P32" s="172">
        <f t="shared" si="20"/>
        <v>1.6000000000000003</v>
      </c>
      <c r="Q32" s="16">
        <f t="shared" si="17"/>
        <v>1.36</v>
      </c>
      <c r="R32" s="180">
        <f t="shared" si="0"/>
        <v>42.406129331096245</v>
      </c>
      <c r="S32" s="180">
        <f t="shared" si="18"/>
        <v>47.593870668903755</v>
      </c>
      <c r="T32" s="180">
        <f t="shared" si="1"/>
        <v>-3.2371712790863274</v>
      </c>
      <c r="U32" s="180">
        <f t="shared" si="2"/>
        <v>-58.684501512943356</v>
      </c>
      <c r="V32" s="180">
        <f t="shared" si="19"/>
        <v>121.31549848705664</v>
      </c>
      <c r="W32" s="180">
        <f t="shared" si="3"/>
        <v>2.2368544439676596</v>
      </c>
      <c r="X32">
        <f t="shared" si="4"/>
        <v>1.3093791726577424</v>
      </c>
      <c r="Y32">
        <f t="shared" si="5"/>
        <v>0.86275079218964024</v>
      </c>
      <c r="Z32">
        <f t="shared" si="6"/>
        <v>0.61224000433539405</v>
      </c>
      <c r="AA32">
        <f t="shared" si="7"/>
        <v>0.45733639575642304</v>
      </c>
      <c r="AB32">
        <f t="shared" si="8"/>
        <v>0.3547617741017895</v>
      </c>
      <c r="AC32" s="14">
        <f t="shared" si="9"/>
        <v>0.28328492881069856</v>
      </c>
      <c r="AE32" s="6">
        <v>3</v>
      </c>
      <c r="AF32" s="14">
        <f>B11/2</f>
        <v>1.2</v>
      </c>
      <c r="AJ32" s="6">
        <v>3500</v>
      </c>
      <c r="AK32">
        <v>2</v>
      </c>
      <c r="AL32" s="66">
        <v>1</v>
      </c>
    </row>
    <row r="33" spans="16:38" x14ac:dyDescent="0.2">
      <c r="P33" s="172">
        <f t="shared" si="20"/>
        <v>1.7000000000000004</v>
      </c>
      <c r="Q33" s="16">
        <f t="shared" si="17"/>
        <v>1.4200000000000002</v>
      </c>
      <c r="R33" s="180">
        <f t="shared" si="0"/>
        <v>43.644724170957979</v>
      </c>
      <c r="S33" s="180">
        <f t="shared" si="18"/>
        <v>46.355275829042021</v>
      </c>
      <c r="T33" s="180">
        <f t="shared" si="1"/>
        <v>-3.1371712790863278</v>
      </c>
      <c r="U33" s="180">
        <f t="shared" si="2"/>
        <v>-58.351733273398345</v>
      </c>
      <c r="V33" s="180">
        <f t="shared" si="19"/>
        <v>121.64826672660166</v>
      </c>
      <c r="W33" s="180">
        <f t="shared" si="3"/>
        <v>2.1555048324450832</v>
      </c>
      <c r="X33">
        <f t="shared" si="4"/>
        <v>1.2612927666437366</v>
      </c>
      <c r="Y33">
        <f t="shared" si="5"/>
        <v>0.8309289878497983</v>
      </c>
      <c r="Z33">
        <f t="shared" si="6"/>
        <v>0.58960528108951249</v>
      </c>
      <c r="AA33">
        <f t="shared" si="7"/>
        <v>0.44040464629163162</v>
      </c>
      <c r="AB33">
        <f t="shared" si="8"/>
        <v>0.34161550267724095</v>
      </c>
      <c r="AC33" s="14">
        <f t="shared" si="9"/>
        <v>0.27278067948125628</v>
      </c>
      <c r="AE33" s="6"/>
      <c r="AF33" s="14">
        <f>-B11/2</f>
        <v>-1.2</v>
      </c>
      <c r="AJ33" s="6">
        <f>AJ32+1000</f>
        <v>4500</v>
      </c>
      <c r="AK33">
        <v>2</v>
      </c>
      <c r="AL33" s="66">
        <f>AL32 - 0.25</f>
        <v>0.75</v>
      </c>
    </row>
    <row r="34" spans="16:38" ht="17" thickBot="1" x14ac:dyDescent="0.25">
      <c r="P34" s="172">
        <f t="shared" si="20"/>
        <v>1.8000000000000005</v>
      </c>
      <c r="Q34" s="16">
        <f t="shared" si="17"/>
        <v>1.4800000000000002</v>
      </c>
      <c r="R34" s="180">
        <f t="shared" si="0"/>
        <v>44.878637622205027</v>
      </c>
      <c r="S34" s="180">
        <f t="shared" si="18"/>
        <v>45.121362377794973</v>
      </c>
      <c r="T34" s="180">
        <f t="shared" si="1"/>
        <v>-3.0371712790863272</v>
      </c>
      <c r="U34" s="180">
        <f t="shared" si="2"/>
        <v>-57.980303594975091</v>
      </c>
      <c r="V34" s="180">
        <f t="shared" si="19"/>
        <v>122.01969640502492</v>
      </c>
      <c r="W34" s="180">
        <f t="shared" si="3"/>
        <v>2.0780490933364195</v>
      </c>
      <c r="X34">
        <f t="shared" si="4"/>
        <v>1.2155080597572083</v>
      </c>
      <c r="Y34">
        <f t="shared" si="5"/>
        <v>0.80063036283141464</v>
      </c>
      <c r="Z34">
        <f t="shared" si="6"/>
        <v>0.56805398925521478</v>
      </c>
      <c r="AA34">
        <f t="shared" si="7"/>
        <v>0.42428335026264963</v>
      </c>
      <c r="AB34">
        <f t="shared" si="8"/>
        <v>0.32909848937314029</v>
      </c>
      <c r="AC34" s="14">
        <f t="shared" si="9"/>
        <v>0.26277922550543942</v>
      </c>
      <c r="AE34" s="8"/>
      <c r="AF34" s="15">
        <f>-B11/2</f>
        <v>-1.2</v>
      </c>
      <c r="AJ34" s="6">
        <f t="shared" ref="AJ34:AJ38" si="30">AJ33+1000</f>
        <v>5500</v>
      </c>
      <c r="AK34">
        <v>2</v>
      </c>
      <c r="AL34" s="66">
        <f t="shared" ref="AL34:AL38" si="31">AL33 - 0.25</f>
        <v>0.5</v>
      </c>
    </row>
    <row r="35" spans="16:38" ht="17" thickBot="1" x14ac:dyDescent="0.25">
      <c r="P35" s="172">
        <f t="shared" si="20"/>
        <v>1.9000000000000006</v>
      </c>
      <c r="Q35" s="16">
        <f t="shared" si="17"/>
        <v>1.5400000000000005</v>
      </c>
      <c r="R35" s="180">
        <f t="shared" si="0"/>
        <v>46.107282866615989</v>
      </c>
      <c r="S35" s="180">
        <f t="shared" si="18"/>
        <v>43.892717133384011</v>
      </c>
      <c r="T35" s="180">
        <f t="shared" si="1"/>
        <v>-2.9371712790863276</v>
      </c>
      <c r="U35" s="180">
        <f t="shared" si="2"/>
        <v>-57.567509327354422</v>
      </c>
      <c r="V35" s="180">
        <f t="shared" si="19"/>
        <v>122.43249067264557</v>
      </c>
      <c r="W35" s="180">
        <f t="shared" si="3"/>
        <v>2.0041833527802551</v>
      </c>
      <c r="X35">
        <f t="shared" si="4"/>
        <v>1.1718454297282601</v>
      </c>
      <c r="Y35">
        <f t="shared" si="5"/>
        <v>0.77173604976215737</v>
      </c>
      <c r="Z35">
        <f t="shared" si="6"/>
        <v>0.54750157894189855</v>
      </c>
      <c r="AA35">
        <f t="shared" si="7"/>
        <v>0.40890926070376882</v>
      </c>
      <c r="AB35">
        <f t="shared" si="8"/>
        <v>0.31716162752276589</v>
      </c>
      <c r="AC35" s="14">
        <f t="shared" si="9"/>
        <v>0.25324132924283083</v>
      </c>
      <c r="AJ35" s="6">
        <f t="shared" si="30"/>
        <v>6500</v>
      </c>
      <c r="AK35">
        <v>2</v>
      </c>
      <c r="AL35" s="66">
        <f t="shared" si="31"/>
        <v>0.25</v>
      </c>
    </row>
    <row r="36" spans="16:38" x14ac:dyDescent="0.2">
      <c r="P36" s="172">
        <f t="shared" si="20"/>
        <v>2.0000000000000004</v>
      </c>
      <c r="Q36" s="16">
        <f t="shared" si="17"/>
        <v>2.0000000000000004</v>
      </c>
      <c r="R36" s="180">
        <f t="shared" si="0"/>
        <v>47.330016788270491</v>
      </c>
      <c r="S36" s="180">
        <f t="shared" si="18"/>
        <v>42.669983211729509</v>
      </c>
      <c r="T36" s="180">
        <f t="shared" si="1"/>
        <v>-2.8371712790863279</v>
      </c>
      <c r="U36" s="180">
        <f t="shared" si="2"/>
        <v>-57.11036014340479</v>
      </c>
      <c r="V36" s="180">
        <f t="shared" si="19"/>
        <v>122.88963985659521</v>
      </c>
      <c r="W36" s="180">
        <f t="shared" si="3"/>
        <v>1.9336385119332187</v>
      </c>
      <c r="X36">
        <f t="shared" si="4"/>
        <v>1.1301458100782933</v>
      </c>
      <c r="Y36">
        <f t="shared" si="5"/>
        <v>0.74414078433182806</v>
      </c>
      <c r="Z36">
        <f t="shared" si="6"/>
        <v>0.52787317606311801</v>
      </c>
      <c r="AA36">
        <f t="shared" si="7"/>
        <v>0.39422636856821003</v>
      </c>
      <c r="AB36">
        <f t="shared" si="8"/>
        <v>0.30576143017677931</v>
      </c>
      <c r="AC36" s="14">
        <f t="shared" si="9"/>
        <v>0.24413224336898567</v>
      </c>
      <c r="AE36" s="167" t="s">
        <v>171</v>
      </c>
      <c r="AF36" s="168"/>
      <c r="AG36" s="182">
        <v>0.9</v>
      </c>
      <c r="AH36" s="169"/>
      <c r="AJ36" s="6">
        <f t="shared" si="30"/>
        <v>7500</v>
      </c>
      <c r="AK36">
        <v>2</v>
      </c>
      <c r="AL36" s="66">
        <f t="shared" si="31"/>
        <v>0</v>
      </c>
    </row>
    <row r="37" spans="16:38" x14ac:dyDescent="0.2">
      <c r="P37" s="172">
        <f t="shared" si="20"/>
        <v>2.1000000000000005</v>
      </c>
      <c r="Q37" s="16">
        <f t="shared" si="17"/>
        <v>2.0600000000000005</v>
      </c>
      <c r="R37" s="180">
        <f t="shared" ref="R37:R68" si="32">180/PI()*ASIN(SIN(RADIANS($B$22))*SIN(RADIANS($B$24)) + COS(RADIANS($B$22))*COS(RADIANS($B$24))*COS(RADIANS(15*(P37+$B$25-$B$23))))</f>
        <v>48.546132140989691</v>
      </c>
      <c r="S37" s="180">
        <f t="shared" si="18"/>
        <v>41.453867859010309</v>
      </c>
      <c r="T37" s="180">
        <f t="shared" ref="T37:T68" si="33">$B$25 + P37 - $B$23</f>
        <v>-2.7371712790863274</v>
      </c>
      <c r="U37" s="180">
        <f t="shared" ref="U37:U68" si="34">180/PI()*ATAN2(TAN(RADIANS($B$22))*COS(RADIANS($B$24)) - SIN(RADIANS($B$24))*COS(RADIANS(15*T37)),SIN(RADIANS(15*T37)))</f>
        <v>-56.605546956217474</v>
      </c>
      <c r="V37" s="180">
        <f t="shared" si="19"/>
        <v>123.39445304378253</v>
      </c>
      <c r="W37" s="180">
        <f t="shared" ref="W37:W68" si="35">$B$20*TAN(RADIANS(S37))*6085*(1/(146 - $W$4^-2) - 1/(146-$B$9^-2)) + 52.6*(1/(41 - $W$4^-2) - 1/(41 - $B$9^-2))</f>
        <v>1.8661762225863385</v>
      </c>
      <c r="X37">
        <f t="shared" ref="X37:X68" si="36">$B$20*TAN(RADIANS(S37))*6085*(1/(146 - $X$4^-2) - 1/(146-$B$9^-2)) + 52.6*(1/(41 - $X$4^-2) - 1/(41 - $B$9^-2))</f>
        <v>1.0902683112746498</v>
      </c>
      <c r="Y37">
        <f t="shared" ref="Y37:Y68" si="37">$B$20*TAN(RADIANS(S37))*6085*(1/(146 - $Y$4^-2) - 1/(146-$B$9^-2)) + 52.6*(1/(41 - $Y$4^-2) - 1/(41 - $B$9^-2))</f>
        <v>0.71775133106051858</v>
      </c>
      <c r="Z37">
        <f t="shared" ref="Z37:Z68" si="38">$B$20*TAN(RADIANS(S37))*6085*(1/(146 - $Z$4^-2) - 1/(146-$B$9^-2)) + 52.6*(1/(41 - $Z$4^-2) - 1/(41 - $B$9^-2))</f>
        <v>0.50910246259171532</v>
      </c>
      <c r="AA37">
        <f t="shared" ref="AA37:AA68" si="39">$B$20*TAN(RADIANS(S37))*6085*(1/(146 - $AA$4^-2) - 1/(146-$B$9^-2)) + 52.6*(1/(41 - $AA$4^-2) - 1/(41 - $B$9^-2))</f>
        <v>0.38018506511065592</v>
      </c>
      <c r="AB37">
        <f t="shared" ref="AB37:AB68" si="40">$B$20*TAN(RADIANS(S37))*6085*(1/(146 - $AB$4^-2) - 1/(146-$B$9^-2)) + 52.6*(1/(41 - $AB$4^-2) - 1/(41 - $B$9^-2))</f>
        <v>0.2948593797542105</v>
      </c>
      <c r="AC37" s="14">
        <f t="shared" ref="AC37:AC68" si="41">$B$20*TAN(RADIANS(S37))*6085*(1/(146 - $AC$4^-2) - 1/(146-$B$9^-2)) + 52.6*(1/(41 - $AC$4^-2) - 1/(41 - $B$9^-2))</f>
        <v>0.23542119122784624</v>
      </c>
      <c r="AE37" s="6" t="s">
        <v>167</v>
      </c>
      <c r="AF37" s="181">
        <v>1.9</v>
      </c>
      <c r="AG37" s="166">
        <v>1.1499999999999999</v>
      </c>
      <c r="AH37" s="14" t="s">
        <v>86</v>
      </c>
      <c r="AJ37" s="6">
        <f t="shared" si="30"/>
        <v>8500</v>
      </c>
      <c r="AK37">
        <v>2</v>
      </c>
      <c r="AL37" s="66">
        <f t="shared" si="31"/>
        <v>-0.25</v>
      </c>
    </row>
    <row r="38" spans="16:38" x14ac:dyDescent="0.2">
      <c r="P38" s="172">
        <f t="shared" si="20"/>
        <v>2.2000000000000006</v>
      </c>
      <c r="Q38" s="16">
        <f t="shared" si="17"/>
        <v>2.1200000000000006</v>
      </c>
      <c r="R38" s="180">
        <f t="shared" si="32"/>
        <v>49.7548485623511</v>
      </c>
      <c r="S38" s="180">
        <f t="shared" si="18"/>
        <v>40.2451514376489</v>
      </c>
      <c r="T38" s="180">
        <f t="shared" si="33"/>
        <v>-2.6371712790863269</v>
      </c>
      <c r="U38" s="180">
        <f t="shared" si="34"/>
        <v>-56.049406972649471</v>
      </c>
      <c r="V38" s="180">
        <f t="shared" si="19"/>
        <v>123.95059302735052</v>
      </c>
      <c r="W38" s="180">
        <f t="shared" si="35"/>
        <v>1.8015855378619212</v>
      </c>
      <c r="X38">
        <f t="shared" si="36"/>
        <v>1.052088240930749</v>
      </c>
      <c r="Y38">
        <f t="shared" si="37"/>
        <v>0.69248517314031266</v>
      </c>
      <c r="Z38">
        <f t="shared" si="38"/>
        <v>0.49113074464941842</v>
      </c>
      <c r="AA38">
        <f t="shared" si="39"/>
        <v>0.36674144477806647</v>
      </c>
      <c r="AB38">
        <f t="shared" si="40"/>
        <v>0.28442138678790141</v>
      </c>
      <c r="AC38" s="14">
        <f t="shared" si="41"/>
        <v>0.22708093435376908</v>
      </c>
      <c r="AE38" s="6"/>
      <c r="AF38" s="180">
        <f>AF37</f>
        <v>1.9</v>
      </c>
      <c r="AG38" s="180">
        <f>AF40</f>
        <v>1.9</v>
      </c>
      <c r="AH38" s="171">
        <f>AF37 - AG37*AG36*COS(RADIANS(B12))</f>
        <v>2.9349999999999996</v>
      </c>
      <c r="AJ38" s="6">
        <f t="shared" si="30"/>
        <v>9500</v>
      </c>
      <c r="AK38">
        <v>2</v>
      </c>
      <c r="AL38" s="66">
        <f t="shared" si="31"/>
        <v>-0.5</v>
      </c>
    </row>
    <row r="39" spans="16:38" x14ac:dyDescent="0.2">
      <c r="P39" s="172">
        <f t="shared" si="20"/>
        <v>2.3000000000000007</v>
      </c>
      <c r="Q39" s="16">
        <f t="shared" si="17"/>
        <v>2.1800000000000006</v>
      </c>
      <c r="R39" s="180">
        <f t="shared" si="32"/>
        <v>50.955302254824367</v>
      </c>
      <c r="S39" s="180">
        <f t="shared" si="18"/>
        <v>39.044697745175633</v>
      </c>
      <c r="T39" s="180">
        <f t="shared" si="33"/>
        <v>-2.5371712790863272</v>
      </c>
      <c r="U39" s="180">
        <f t="shared" si="34"/>
        <v>-55.437885255332681</v>
      </c>
      <c r="V39" s="180">
        <f t="shared" si="19"/>
        <v>124.56211474466733</v>
      </c>
      <c r="W39" s="180">
        <f t="shared" si="35"/>
        <v>1.7396801346065314</v>
      </c>
      <c r="X39">
        <f t="shared" si="36"/>
        <v>1.0154954619403627</v>
      </c>
      <c r="Y39">
        <f t="shared" si="37"/>
        <v>0.66826942590929705</v>
      </c>
      <c r="Z39">
        <f t="shared" si="38"/>
        <v>0.47390617966521353</v>
      </c>
      <c r="AA39">
        <f t="shared" si="39"/>
        <v>0.35385672709080068</v>
      </c>
      <c r="AB39">
        <f t="shared" si="40"/>
        <v>0.27441734105726351</v>
      </c>
      <c r="AC39" s="14">
        <f t="shared" si="41"/>
        <v>0.21908741381367636</v>
      </c>
      <c r="AE39" s="6"/>
      <c r="AF39" s="180">
        <f>AF37 - AG36*COS(RADIANS(B12))</f>
        <v>2.8</v>
      </c>
      <c r="AG39" s="180">
        <f>AF40 + AG36*SIN(RADIANS(B12))</f>
        <v>1.9</v>
      </c>
      <c r="AH39" s="171">
        <f>AF40 + AG37*AG36*SIN(RADIANS(B12))</f>
        <v>1.9000000000000001</v>
      </c>
      <c r="AJ39" s="6"/>
      <c r="AL39" s="14"/>
    </row>
    <row r="40" spans="16:38" x14ac:dyDescent="0.2">
      <c r="P40" s="172">
        <f t="shared" si="20"/>
        <v>2.4000000000000008</v>
      </c>
      <c r="Q40" s="16">
        <f t="shared" si="17"/>
        <v>2.2400000000000007</v>
      </c>
      <c r="R40" s="180">
        <f t="shared" si="32"/>
        <v>52.146534130776224</v>
      </c>
      <c r="S40" s="180">
        <f t="shared" si="18"/>
        <v>37.853465869223776</v>
      </c>
      <c r="T40" s="180">
        <f t="shared" si="33"/>
        <v>-2.4371712790863276</v>
      </c>
      <c r="U40" s="180">
        <f t="shared" si="34"/>
        <v>-54.76649278502402</v>
      </c>
      <c r="V40" s="180">
        <f t="shared" si="19"/>
        <v>125.23350721497599</v>
      </c>
      <c r="W40" s="180">
        <f t="shared" si="35"/>
        <v>1.6802960256809356</v>
      </c>
      <c r="X40">
        <f t="shared" si="36"/>
        <v>0.98039304019390305</v>
      </c>
      <c r="Y40">
        <f t="shared" si="37"/>
        <v>0.64503994196023451</v>
      </c>
      <c r="Z40">
        <f t="shared" si="38"/>
        <v>0.45738313984269263</v>
      </c>
      <c r="AA40">
        <f t="shared" si="39"/>
        <v>0.34149678048873211</v>
      </c>
      <c r="AB40">
        <f t="shared" si="40"/>
        <v>0.26482074188943372</v>
      </c>
      <c r="AC40" s="14">
        <f t="shared" si="41"/>
        <v>0.21141945480703625</v>
      </c>
      <c r="AE40" s="6" t="s">
        <v>168</v>
      </c>
      <c r="AF40" s="166">
        <v>1.9</v>
      </c>
      <c r="AH40" s="171" t="s">
        <v>88</v>
      </c>
      <c r="AJ40" s="6">
        <v>3500</v>
      </c>
      <c r="AK40">
        <v>2</v>
      </c>
      <c r="AL40" s="14">
        <v>-1.75</v>
      </c>
    </row>
    <row r="41" spans="16:38" x14ac:dyDescent="0.2">
      <c r="P41" s="172">
        <f t="shared" si="20"/>
        <v>2.5000000000000009</v>
      </c>
      <c r="Q41" s="16">
        <f t="shared" si="17"/>
        <v>2.3000000000000007</v>
      </c>
      <c r="R41" s="180">
        <f t="shared" si="32"/>
        <v>53.327476194031235</v>
      </c>
      <c r="S41" s="180">
        <f t="shared" si="18"/>
        <v>36.672523805968765</v>
      </c>
      <c r="T41" s="180">
        <f t="shared" si="33"/>
        <v>-2.337171279086327</v>
      </c>
      <c r="U41" s="180">
        <f t="shared" si="34"/>
        <v>-54.030261207290344</v>
      </c>
      <c r="V41" s="180">
        <f t="shared" si="19"/>
        <v>125.96973879270965</v>
      </c>
      <c r="W41" s="180">
        <f t="shared" si="35"/>
        <v>1.6232896976059954</v>
      </c>
      <c r="X41">
        <f t="shared" si="36"/>
        <v>0.94669614372601485</v>
      </c>
      <c r="Y41">
        <f t="shared" si="37"/>
        <v>0.6227405826371708</v>
      </c>
      <c r="Z41">
        <f t="shared" si="38"/>
        <v>0.44152169397847851</v>
      </c>
      <c r="AA41">
        <f t="shared" si="39"/>
        <v>0.32963173470907625</v>
      </c>
      <c r="AB41">
        <f t="shared" si="40"/>
        <v>0.25560839719886264</v>
      </c>
      <c r="AC41" s="14">
        <f t="shared" si="41"/>
        <v>0.20405852618982989</v>
      </c>
      <c r="AE41" s="6"/>
      <c r="AF41" s="180">
        <f>AF37</f>
        <v>1.9</v>
      </c>
      <c r="AG41" s="180">
        <f>AF40</f>
        <v>1.9</v>
      </c>
      <c r="AH41" s="171">
        <f>AF37 - AG37*AG36*SIN(RADIANS(B12))</f>
        <v>1.8999999999999997</v>
      </c>
      <c r="AJ41" s="6">
        <v>4500</v>
      </c>
      <c r="AK41">
        <v>2</v>
      </c>
      <c r="AL41" s="66">
        <f>AL40-0.25</f>
        <v>-2</v>
      </c>
    </row>
    <row r="42" spans="16:38" x14ac:dyDescent="0.2">
      <c r="P42" s="172">
        <f t="shared" si="20"/>
        <v>2.600000000000001</v>
      </c>
      <c r="Q42" s="16">
        <f t="shared" si="17"/>
        <v>2.3600000000000008</v>
      </c>
      <c r="R42" s="180">
        <f t="shared" si="32"/>
        <v>54.496935908311009</v>
      </c>
      <c r="S42" s="180">
        <f t="shared" si="18"/>
        <v>35.503064091688991</v>
      </c>
      <c r="T42" s="180">
        <f t="shared" si="33"/>
        <v>-2.2371712790863265</v>
      </c>
      <c r="U42" s="180">
        <f t="shared" si="34"/>
        <v>-53.22369474286041</v>
      </c>
      <c r="V42" s="180">
        <f t="shared" si="19"/>
        <v>126.7763052571396</v>
      </c>
      <c r="W42" s="180">
        <f t="shared" si="35"/>
        <v>1.5685366228880153</v>
      </c>
      <c r="X42">
        <f t="shared" si="36"/>
        <v>0.9143311633391904</v>
      </c>
      <c r="Y42">
        <f t="shared" si="37"/>
        <v>0.60132263609667913</v>
      </c>
      <c r="Z42">
        <f t="shared" si="38"/>
        <v>0.42628719353149597</v>
      </c>
      <c r="AA42">
        <f t="shared" si="39"/>
        <v>0.31823567114834789</v>
      </c>
      <c r="AB42">
        <f t="shared" si="40"/>
        <v>0.24676018307590536</v>
      </c>
      <c r="AC42" s="14">
        <f t="shared" si="41"/>
        <v>0.19698854837891402</v>
      </c>
      <c r="AE42" s="6"/>
      <c r="AF42" s="180">
        <f>AF37 - AG36*SIN(RADIANS(B12))</f>
        <v>1.9</v>
      </c>
      <c r="AG42" s="180">
        <f>AF40 - AG36*COS(RADIANS(B12))</f>
        <v>2.8</v>
      </c>
      <c r="AH42" s="171">
        <f>AF40 - AG37*AG36*COS(RADIANS(B12))</f>
        <v>2.9349999999999996</v>
      </c>
      <c r="AJ42" s="6">
        <v>5500</v>
      </c>
      <c r="AK42">
        <v>2</v>
      </c>
      <c r="AL42" s="66">
        <f t="shared" ref="AL42:AL43" si="42">AL41-0.25</f>
        <v>-2.25</v>
      </c>
    </row>
    <row r="43" spans="16:38" x14ac:dyDescent="0.2">
      <c r="P43" s="172">
        <f t="shared" si="20"/>
        <v>2.7000000000000011</v>
      </c>
      <c r="Q43" s="16">
        <f t="shared" si="17"/>
        <v>2.4200000000000008</v>
      </c>
      <c r="R43" s="180">
        <f t="shared" si="32"/>
        <v>55.653578285471418</v>
      </c>
      <c r="S43" s="180">
        <f t="shared" si="18"/>
        <v>34.346421714528582</v>
      </c>
      <c r="T43" s="180">
        <f t="shared" si="33"/>
        <v>-2.1371712790863269</v>
      </c>
      <c r="U43" s="180">
        <f t="shared" si="34"/>
        <v>-52.34072018178648</v>
      </c>
      <c r="V43" s="180">
        <f t="shared" si="19"/>
        <v>127.65927981821352</v>
      </c>
      <c r="W43" s="180">
        <f t="shared" si="35"/>
        <v>1.5159301074709968</v>
      </c>
      <c r="X43">
        <f t="shared" si="36"/>
        <v>0.88323503132357817</v>
      </c>
      <c r="Y43">
        <f t="shared" si="37"/>
        <v>0.58074436646183702</v>
      </c>
      <c r="Z43">
        <f t="shared" si="38"/>
        <v>0.41164995193798259</v>
      </c>
      <c r="AA43">
        <f t="shared" si="39"/>
        <v>0.30728638297615485</v>
      </c>
      <c r="AB43">
        <f t="shared" si="40"/>
        <v>0.2382588575326372</v>
      </c>
      <c r="AC43" s="14">
        <f t="shared" si="41"/>
        <v>0.19019574452956617</v>
      </c>
      <c r="AE43" s="6" t="s">
        <v>95</v>
      </c>
      <c r="AF43" s="16"/>
      <c r="AH43" s="171" t="s">
        <v>194</v>
      </c>
      <c r="AJ43" s="6">
        <v>9500</v>
      </c>
      <c r="AK43">
        <v>2</v>
      </c>
      <c r="AL43" s="66">
        <f t="shared" si="42"/>
        <v>-2.5</v>
      </c>
    </row>
    <row r="44" spans="16:38" x14ac:dyDescent="0.2">
      <c r="P44" s="172">
        <f t="shared" si="20"/>
        <v>2.8000000000000012</v>
      </c>
      <c r="Q44" s="16">
        <f t="shared" si="17"/>
        <v>2.4800000000000004</v>
      </c>
      <c r="R44" s="180">
        <f t="shared" si="32"/>
        <v>56.79590541920826</v>
      </c>
      <c r="S44" s="180">
        <f t="shared" si="18"/>
        <v>33.20409458079174</v>
      </c>
      <c r="T44" s="180">
        <f t="shared" si="33"/>
        <v>-2.0371712790863272</v>
      </c>
      <c r="U44" s="180">
        <f t="shared" si="34"/>
        <v>-51.374636524375617</v>
      </c>
      <c r="V44" s="180">
        <f t="shared" si="19"/>
        <v>128.6253634756244</v>
      </c>
      <c r="W44" s="180">
        <f t="shared" si="35"/>
        <v>1.4653804425627457</v>
      </c>
      <c r="X44">
        <f t="shared" si="36"/>
        <v>0.85335472009461188</v>
      </c>
      <c r="Y44">
        <f t="shared" si="37"/>
        <v>0.56097068203915834</v>
      </c>
      <c r="Z44">
        <f t="shared" si="38"/>
        <v>0.39758500861550872</v>
      </c>
      <c r="AA44">
        <f t="shared" si="39"/>
        <v>0.29676519860002382</v>
      </c>
      <c r="AB44">
        <f t="shared" si="40"/>
        <v>0.23008992343613674</v>
      </c>
      <c r="AC44" s="14">
        <f t="shared" si="41"/>
        <v>0.18366853101523165</v>
      </c>
      <c r="AE44" s="6"/>
      <c r="AF44" s="180">
        <f>AF37</f>
        <v>1.9</v>
      </c>
      <c r="AG44" s="180">
        <f>AF40</f>
        <v>1.9</v>
      </c>
      <c r="AH44" s="171">
        <f>AF37 - AG36*AG37*COS(RADIANS(B12 - B14))</f>
        <v>2.4758078281594713</v>
      </c>
      <c r="AJ44" s="6"/>
      <c r="AL44" s="14"/>
    </row>
    <row r="45" spans="16:38" ht="17" thickBot="1" x14ac:dyDescent="0.25">
      <c r="P45" s="172">
        <f t="shared" si="20"/>
        <v>2.9000000000000012</v>
      </c>
      <c r="Q45" s="16">
        <f t="shared" si="17"/>
        <v>2.5400000000000009</v>
      </c>
      <c r="R45" s="180">
        <f t="shared" si="32"/>
        <v>57.922233200823463</v>
      </c>
      <c r="S45" s="180">
        <f t="shared" si="18"/>
        <v>32.077766799176537</v>
      </c>
      <c r="T45" s="180">
        <f t="shared" si="33"/>
        <v>-1.9371712790863267</v>
      </c>
      <c r="U45" s="180">
        <f t="shared" si="34"/>
        <v>-50.318066750540886</v>
      </c>
      <c r="V45" s="180">
        <f t="shared" si="19"/>
        <v>129.68193324945912</v>
      </c>
      <c r="W45" s="180">
        <f t="shared" si="35"/>
        <v>1.4168143367548851</v>
      </c>
      <c r="X45">
        <f t="shared" si="36"/>
        <v>0.82464690651460681</v>
      </c>
      <c r="Y45">
        <f t="shared" si="37"/>
        <v>0.5419729131790465</v>
      </c>
      <c r="Z45">
        <f t="shared" si="38"/>
        <v>0.38407197095599827</v>
      </c>
      <c r="AA45">
        <f t="shared" si="39"/>
        <v>0.28665686346936325</v>
      </c>
      <c r="AB45">
        <f t="shared" si="40"/>
        <v>0.22224153673786357</v>
      </c>
      <c r="AC45" s="14">
        <f t="shared" si="41"/>
        <v>0.17739744410015448</v>
      </c>
      <c r="AE45" s="6"/>
      <c r="AF45" s="180">
        <f>AF37 - AG36*COS(RADIANS(B12 - B14))</f>
        <v>2.4007024592691053</v>
      </c>
      <c r="AG45" s="180">
        <f>AF40 + AG36*SIN(RADIANS(B12 - B14))</f>
        <v>2.6478616498269378</v>
      </c>
      <c r="AH45" s="171">
        <f>AF40 + AG37*AG36*SIN(RADIANS(B12 - B14))</f>
        <v>2.7600408973009789</v>
      </c>
      <c r="AJ45" s="189" t="s">
        <v>215</v>
      </c>
      <c r="AK45" s="9">
        <v>-2.8</v>
      </c>
      <c r="AL45" s="15">
        <v>0</v>
      </c>
    </row>
    <row r="46" spans="16:38" ht="17" thickBot="1" x14ac:dyDescent="0.25">
      <c r="P46" s="172">
        <f t="shared" si="20"/>
        <v>3.0000000000000013</v>
      </c>
      <c r="Q46" s="16">
        <f t="shared" si="17"/>
        <v>3.0000000000000009</v>
      </c>
      <c r="R46" s="180">
        <f t="shared" si="32"/>
        <v>59.03066499475991</v>
      </c>
      <c r="S46" s="180">
        <f t="shared" si="18"/>
        <v>30.96933500524009</v>
      </c>
      <c r="T46" s="180">
        <f t="shared" si="33"/>
        <v>-1.8371712790863262</v>
      </c>
      <c r="U46" s="180">
        <f t="shared" si="34"/>
        <v>-49.162915487149874</v>
      </c>
      <c r="V46" s="180">
        <f t="shared" si="19"/>
        <v>130.83708451285014</v>
      </c>
      <c r="W46" s="180">
        <f t="shared" si="35"/>
        <v>1.3701746088800741</v>
      </c>
      <c r="X46">
        <f t="shared" si="36"/>
        <v>0.79707779033820714</v>
      </c>
      <c r="Y46">
        <f t="shared" si="37"/>
        <v>0.52372869212970796</v>
      </c>
      <c r="Z46">
        <f t="shared" si="38"/>
        <v>0.37109492886629397</v>
      </c>
      <c r="AA46">
        <f t="shared" si="39"/>
        <v>0.27694947614811971</v>
      </c>
      <c r="AB46">
        <f t="shared" si="40"/>
        <v>0.21470445683872741</v>
      </c>
      <c r="AC46" s="14">
        <f t="shared" si="41"/>
        <v>0.17137510027963865</v>
      </c>
      <c r="AE46" s="6" t="s">
        <v>197</v>
      </c>
      <c r="AH46" s="14" t="s">
        <v>198</v>
      </c>
      <c r="AJ46" s="307" t="s">
        <v>182</v>
      </c>
      <c r="AK46" s="308"/>
      <c r="AL46" s="309"/>
    </row>
    <row r="47" spans="16:38" x14ac:dyDescent="0.2">
      <c r="P47" s="172">
        <f t="shared" si="20"/>
        <v>3.1000000000000014</v>
      </c>
      <c r="Q47" s="16">
        <f t="shared" si="17"/>
        <v>3.0600000000000009</v>
      </c>
      <c r="R47" s="180">
        <f t="shared" si="32"/>
        <v>60.119062140500169</v>
      </c>
      <c r="S47" s="180">
        <f t="shared" si="18"/>
        <v>29.880937859499831</v>
      </c>
      <c r="T47" s="180">
        <f t="shared" si="33"/>
        <v>-1.7371712790863265</v>
      </c>
      <c r="U47" s="180">
        <f t="shared" si="34"/>
        <v>-47.900338112453213</v>
      </c>
      <c r="V47" s="180">
        <f t="shared" si="19"/>
        <v>132.0996618875468</v>
      </c>
      <c r="W47" s="180">
        <f t="shared" si="35"/>
        <v>1.3254201241554588</v>
      </c>
      <c r="X47">
        <f t="shared" si="36"/>
        <v>0.77062305646626705</v>
      </c>
      <c r="Y47">
        <f t="shared" si="37"/>
        <v>0.50622192805816835</v>
      </c>
      <c r="Z47">
        <f t="shared" si="38"/>
        <v>0.35864243700070508</v>
      </c>
      <c r="AA47">
        <f t="shared" si="39"/>
        <v>0.26763447502395682</v>
      </c>
      <c r="AB47">
        <f t="shared" si="40"/>
        <v>0.20747203626973282</v>
      </c>
      <c r="AC47" s="14">
        <f t="shared" si="41"/>
        <v>0.16559618803458628</v>
      </c>
      <c r="AE47" s="6"/>
      <c r="AF47" s="16">
        <f>AF37</f>
        <v>1.9</v>
      </c>
      <c r="AG47" s="16">
        <f>AF40</f>
        <v>1.9</v>
      </c>
      <c r="AH47" s="14">
        <f>AF37 - AG36*AG37</f>
        <v>0.86499999999999999</v>
      </c>
      <c r="AJ47" s="6"/>
      <c r="AK47">
        <v>13</v>
      </c>
      <c r="AL47" s="14">
        <v>180</v>
      </c>
    </row>
    <row r="48" spans="16:38" ht="17" thickBot="1" x14ac:dyDescent="0.25">
      <c r="P48" s="172">
        <f t="shared" si="20"/>
        <v>3.2000000000000015</v>
      </c>
      <c r="Q48" s="16">
        <f t="shared" si="17"/>
        <v>3.120000000000001</v>
      </c>
      <c r="R48" s="180">
        <f t="shared" si="32"/>
        <v>61.185011309032696</v>
      </c>
      <c r="S48" s="180">
        <f t="shared" si="18"/>
        <v>28.814988690967304</v>
      </c>
      <c r="T48" s="180">
        <f t="shared" si="33"/>
        <v>-1.6371712790863269</v>
      </c>
      <c r="U48" s="180">
        <f t="shared" si="34"/>
        <v>-46.520729212516365</v>
      </c>
      <c r="V48" s="180">
        <f t="shared" si="19"/>
        <v>133.47927078748364</v>
      </c>
      <c r="W48" s="180">
        <f t="shared" si="35"/>
        <v>1.2825259552989321</v>
      </c>
      <c r="X48">
        <f t="shared" si="36"/>
        <v>0.74526797018296209</v>
      </c>
      <c r="Y48">
        <f t="shared" si="37"/>
        <v>0.48944287007466802</v>
      </c>
      <c r="Z48">
        <f t="shared" si="38"/>
        <v>0.34670755959001037</v>
      </c>
      <c r="AA48">
        <f t="shared" si="39"/>
        <v>0.25870667184228319</v>
      </c>
      <c r="AB48">
        <f t="shared" si="40"/>
        <v>0.20054024672871182</v>
      </c>
      <c r="AC48" s="14">
        <f t="shared" si="41"/>
        <v>0.16005748863559641</v>
      </c>
      <c r="AE48" s="8"/>
      <c r="AF48" s="43">
        <f>AF40 - AG36</f>
        <v>0.99999999999999989</v>
      </c>
      <c r="AG48" s="43">
        <f>AF40</f>
        <v>1.9</v>
      </c>
      <c r="AH48" s="78">
        <f>AF40</f>
        <v>1.9</v>
      </c>
      <c r="AJ48" s="6"/>
      <c r="AK48">
        <v>12</v>
      </c>
      <c r="AL48" s="14">
        <v>3</v>
      </c>
    </row>
    <row r="49" spans="16:38" ht="17" thickBot="1" x14ac:dyDescent="0.25">
      <c r="P49" s="172">
        <f t="shared" si="20"/>
        <v>3.3000000000000016</v>
      </c>
      <c r="Q49" s="16">
        <f t="shared" si="17"/>
        <v>3.180000000000001</v>
      </c>
      <c r="R49" s="180">
        <f t="shared" si="32"/>
        <v>62.225789010661892</v>
      </c>
      <c r="S49" s="180">
        <f t="shared" si="18"/>
        <v>27.774210989338108</v>
      </c>
      <c r="T49" s="180">
        <f t="shared" si="33"/>
        <v>-1.5371712790863263</v>
      </c>
      <c r="U49" s="180">
        <f t="shared" si="34"/>
        <v>-45.013741405515439</v>
      </c>
      <c r="V49" s="180">
        <f t="shared" si="19"/>
        <v>134.98625859448455</v>
      </c>
      <c r="W49" s="180">
        <f t="shared" si="35"/>
        <v>1.2414837455940193</v>
      </c>
      <c r="X49">
        <f t="shared" si="36"/>
        <v>0.72100759176634621</v>
      </c>
      <c r="Y49">
        <f t="shared" si="37"/>
        <v>0.47338824925398915</v>
      </c>
      <c r="Z49">
        <f t="shared" si="38"/>
        <v>0.33528797146066425</v>
      </c>
      <c r="AA49">
        <f t="shared" si="39"/>
        <v>0.25016432727297744</v>
      </c>
      <c r="AB49">
        <f t="shared" si="40"/>
        <v>0.19390773775238701</v>
      </c>
      <c r="AC49" s="14">
        <f t="shared" si="41"/>
        <v>0.15475792302363264</v>
      </c>
      <c r="AJ49" s="6"/>
      <c r="AK49">
        <v>2</v>
      </c>
      <c r="AL49" s="14">
        <v>3</v>
      </c>
    </row>
    <row r="50" spans="16:38" x14ac:dyDescent="0.2">
      <c r="P50" s="172">
        <f t="shared" si="20"/>
        <v>3.4000000000000017</v>
      </c>
      <c r="Q50" s="16">
        <f t="shared" si="17"/>
        <v>3.2400000000000011</v>
      </c>
      <c r="R50" s="180">
        <f t="shared" si="32"/>
        <v>63.238323971425743</v>
      </c>
      <c r="S50" s="180">
        <f t="shared" si="18"/>
        <v>26.761676028574257</v>
      </c>
      <c r="T50" s="180">
        <f t="shared" si="33"/>
        <v>-1.4371712790863258</v>
      </c>
      <c r="U50" s="180">
        <f t="shared" si="34"/>
        <v>-43.368349449045958</v>
      </c>
      <c r="V50" s="180">
        <f t="shared" si="19"/>
        <v>136.63165055095405</v>
      </c>
      <c r="W50" s="180">
        <f t="shared" si="35"/>
        <v>1.2023022410742559</v>
      </c>
      <c r="X50">
        <f t="shared" si="36"/>
        <v>0.69784709106679399</v>
      </c>
      <c r="Y50">
        <f t="shared" si="37"/>
        <v>0.45806148681182912</v>
      </c>
      <c r="Z50">
        <f t="shared" si="38"/>
        <v>0.32438610610982638</v>
      </c>
      <c r="AA50">
        <f t="shared" si="39"/>
        <v>0.24200926167689762</v>
      </c>
      <c r="AB50">
        <f t="shared" si="40"/>
        <v>0.18757592271850659</v>
      </c>
      <c r="AC50" s="14">
        <f t="shared" si="41"/>
        <v>0.14969862052820476</v>
      </c>
      <c r="AE50" s="167" t="s">
        <v>170</v>
      </c>
      <c r="AF50" s="168"/>
      <c r="AG50" s="168"/>
      <c r="AH50" s="169"/>
      <c r="AJ50" s="6"/>
      <c r="AK50">
        <v>8000</v>
      </c>
      <c r="AL50" s="14">
        <v>0.2</v>
      </c>
    </row>
    <row r="51" spans="16:38" ht="17" thickBot="1" x14ac:dyDescent="0.25">
      <c r="P51" s="172">
        <f t="shared" si="20"/>
        <v>3.5000000000000018</v>
      </c>
      <c r="Q51" s="16">
        <f t="shared" si="17"/>
        <v>3.3000000000000012</v>
      </c>
      <c r="R51" s="180">
        <f t="shared" si="32"/>
        <v>64.219158723161712</v>
      </c>
      <c r="S51" s="180">
        <f t="shared" si="18"/>
        <v>25.780841276838288</v>
      </c>
      <c r="T51" s="180">
        <f t="shared" si="33"/>
        <v>-1.3371712790863262</v>
      </c>
      <c r="U51" s="180">
        <f t="shared" si="34"/>
        <v>-41.572979196809499</v>
      </c>
      <c r="V51" s="180">
        <f t="shared" si="19"/>
        <v>138.42702080319049</v>
      </c>
      <c r="W51" s="180">
        <f t="shared" si="35"/>
        <v>1.1650079424988673</v>
      </c>
      <c r="X51">
        <f t="shared" si="36"/>
        <v>0.67580213289503921</v>
      </c>
      <c r="Y51">
        <f t="shared" si="37"/>
        <v>0.44347294914034552</v>
      </c>
      <c r="Z51">
        <f t="shared" si="38"/>
        <v>0.31400933711113332</v>
      </c>
      <c r="AA51">
        <f t="shared" si="39"/>
        <v>0.23424699080522463</v>
      </c>
      <c r="AB51">
        <f t="shared" si="40"/>
        <v>0.18154908420651014</v>
      </c>
      <c r="AC51" s="14">
        <f t="shared" si="41"/>
        <v>0.14488300305357396</v>
      </c>
      <c r="AE51" s="172">
        <f>B27</f>
        <v>4.8371712790863279</v>
      </c>
      <c r="AF51">
        <v>0</v>
      </c>
      <c r="AG51">
        <v>-3</v>
      </c>
      <c r="AH51" s="14"/>
      <c r="AJ51" s="8"/>
      <c r="AK51" s="9">
        <v>-3</v>
      </c>
      <c r="AL51" s="15">
        <v>-2.6</v>
      </c>
    </row>
    <row r="52" spans="16:38" ht="17" thickBot="1" x14ac:dyDescent="0.25">
      <c r="P52" s="172">
        <f t="shared" si="20"/>
        <v>3.6000000000000019</v>
      </c>
      <c r="Q52" s="16">
        <f t="shared" si="17"/>
        <v>3.3600000000000012</v>
      </c>
      <c r="R52" s="180">
        <f t="shared" si="32"/>
        <v>65.164412648926344</v>
      </c>
      <c r="S52" s="180">
        <f t="shared" si="18"/>
        <v>24.835587351073656</v>
      </c>
      <c r="T52" s="180">
        <f t="shared" si="33"/>
        <v>-1.2371712790863265</v>
      </c>
      <c r="U52" s="180">
        <f t="shared" si="34"/>
        <v>-39.615726082263684</v>
      </c>
      <c r="V52" s="180">
        <f t="shared" si="19"/>
        <v>140.38427391773632</v>
      </c>
      <c r="W52" s="180">
        <f t="shared" si="35"/>
        <v>1.1296458027709531</v>
      </c>
      <c r="X52">
        <f t="shared" si="36"/>
        <v>0.65489928927164254</v>
      </c>
      <c r="Y52">
        <f t="shared" si="37"/>
        <v>0.42964022061960094</v>
      </c>
      <c r="Z52">
        <f t="shared" si="38"/>
        <v>0.30417017216439729</v>
      </c>
      <c r="AA52">
        <f t="shared" si="39"/>
        <v>0.22688687095700846</v>
      </c>
      <c r="AB52">
        <f t="shared" si="40"/>
        <v>0.17583448670180105</v>
      </c>
      <c r="AC52" s="14">
        <f t="shared" si="41"/>
        <v>0.14031687513271107</v>
      </c>
      <c r="AE52" s="173">
        <f>B27</f>
        <v>4.8371712790863279</v>
      </c>
      <c r="AF52" s="9">
        <v>90</v>
      </c>
      <c r="AG52" s="9">
        <v>3</v>
      </c>
      <c r="AH52" s="15"/>
    </row>
    <row r="53" spans="16:38" x14ac:dyDescent="0.2">
      <c r="P53" s="172">
        <f t="shared" si="20"/>
        <v>3.700000000000002</v>
      </c>
      <c r="Q53" s="16">
        <f t="shared" si="17"/>
        <v>3.4200000000000013</v>
      </c>
      <c r="R53" s="180">
        <f t="shared" si="32"/>
        <v>66.069749947013179</v>
      </c>
      <c r="S53" s="180">
        <f t="shared" si="18"/>
        <v>23.930250052986821</v>
      </c>
      <c r="T53" s="180">
        <f t="shared" si="33"/>
        <v>-1.137171279086326</v>
      </c>
      <c r="U53" s="180">
        <f t="shared" si="34"/>
        <v>-37.48469264744346</v>
      </c>
      <c r="V53" s="180">
        <f t="shared" si="19"/>
        <v>142.51530735255653</v>
      </c>
      <c r="W53" s="180">
        <f t="shared" si="35"/>
        <v>1.0962798602078145</v>
      </c>
      <c r="X53">
        <f t="shared" si="36"/>
        <v>0.63517641375814615</v>
      </c>
      <c r="Y53">
        <f t="shared" si="37"/>
        <v>0.41658835133607125</v>
      </c>
      <c r="Z53">
        <f t="shared" si="38"/>
        <v>0.29488642929679898</v>
      </c>
      <c r="AA53">
        <f t="shared" si="39"/>
        <v>0.21994223078526171</v>
      </c>
      <c r="AB53">
        <f t="shared" si="40"/>
        <v>0.17044247893358716</v>
      </c>
      <c r="AC53" s="14">
        <f t="shared" si="41"/>
        <v>0.13600850569817746</v>
      </c>
    </row>
    <row r="54" spans="16:38" x14ac:dyDescent="0.2">
      <c r="P54" s="172">
        <f t="shared" si="20"/>
        <v>3.800000000000002</v>
      </c>
      <c r="Q54" s="16">
        <f t="shared" si="17"/>
        <v>3.4800000000000013</v>
      </c>
      <c r="R54" s="180">
        <f t="shared" si="32"/>
        <v>66.930357548825526</v>
      </c>
      <c r="S54" s="180">
        <f t="shared" si="18"/>
        <v>23.069642451174474</v>
      </c>
      <c r="T54" s="180">
        <f t="shared" si="33"/>
        <v>-1.0371712790863254</v>
      </c>
      <c r="U54" s="180">
        <f t="shared" si="34"/>
        <v>-35.168477774646327</v>
      </c>
      <c r="V54" s="180">
        <f t="shared" si="19"/>
        <v>144.83152222535367</v>
      </c>
      <c r="W54" s="180">
        <f t="shared" si="35"/>
        <v>1.0649936517850807</v>
      </c>
      <c r="X54">
        <f t="shared" si="36"/>
        <v>0.61668288572898189</v>
      </c>
      <c r="Y54">
        <f t="shared" si="37"/>
        <v>0.40435001873275628</v>
      </c>
      <c r="Z54">
        <f t="shared" si="38"/>
        <v>0.28618135184397031</v>
      </c>
      <c r="AA54">
        <f t="shared" si="39"/>
        <v>0.21343045730776986</v>
      </c>
      <c r="AB54">
        <f t="shared" si="40"/>
        <v>0.16538656065601662</v>
      </c>
      <c r="AC54" s="14">
        <f t="shared" si="41"/>
        <v>0.13196868144217483</v>
      </c>
    </row>
    <row r="55" spans="16:38" x14ac:dyDescent="0.2">
      <c r="P55" s="172">
        <f t="shared" si="20"/>
        <v>3.9000000000000021</v>
      </c>
      <c r="Q55" s="16">
        <f t="shared" si="17"/>
        <v>3.5400000000000014</v>
      </c>
      <c r="R55" s="180">
        <f t="shared" si="32"/>
        <v>67.740939899605578</v>
      </c>
      <c r="S55" s="180">
        <f t="shared" si="18"/>
        <v>22.259060100394422</v>
      </c>
      <c r="T55" s="180">
        <f t="shared" si="33"/>
        <v>-0.9371712790863258</v>
      </c>
      <c r="U55" s="180">
        <f t="shared" si="34"/>
        <v>-32.656849300301801</v>
      </c>
      <c r="V55" s="180">
        <f t="shared" si="19"/>
        <v>147.34315069969819</v>
      </c>
      <c r="W55" s="180">
        <f t="shared" si="35"/>
        <v>1.0358901945197481</v>
      </c>
      <c r="X55">
        <f t="shared" si="36"/>
        <v>0.59947959936683803</v>
      </c>
      <c r="Y55">
        <f t="shared" si="37"/>
        <v>0.39296552032672105</v>
      </c>
      <c r="Z55">
        <f t="shared" si="38"/>
        <v>0.27808360327001036</v>
      </c>
      <c r="AA55">
        <f t="shared" si="39"/>
        <v>0.20737299203223974</v>
      </c>
      <c r="AB55">
        <f t="shared" si="40"/>
        <v>0.16068337963963736</v>
      </c>
      <c r="AC55" s="14">
        <f t="shared" si="41"/>
        <v>0.12821070441263516</v>
      </c>
    </row>
    <row r="56" spans="16:38" x14ac:dyDescent="0.2">
      <c r="P56" s="172">
        <f t="shared" si="20"/>
        <v>4.0000000000000018</v>
      </c>
      <c r="Q56" s="16">
        <f t="shared" si="17"/>
        <v>4.0000000000000009</v>
      </c>
      <c r="R56" s="180">
        <f t="shared" si="32"/>
        <v>68.495739496291506</v>
      </c>
      <c r="S56" s="180">
        <f t="shared" si="18"/>
        <v>21.504260503708494</v>
      </c>
      <c r="T56" s="180">
        <f t="shared" si="33"/>
        <v>-0.83717127908632616</v>
      </c>
      <c r="U56" s="180">
        <f t="shared" si="34"/>
        <v>-29.941623015159095</v>
      </c>
      <c r="V56" s="180">
        <f t="shared" si="19"/>
        <v>150.05837698484089</v>
      </c>
      <c r="W56" s="180">
        <f t="shared" si="35"/>
        <v>1.009091263151664</v>
      </c>
      <c r="X56">
        <f t="shared" si="36"/>
        <v>0.58363853669440557</v>
      </c>
      <c r="Y56">
        <f t="shared" si="37"/>
        <v>0.38248249115730271</v>
      </c>
      <c r="Z56">
        <f t="shared" si="38"/>
        <v>0.27062706618951538</v>
      </c>
      <c r="AA56">
        <f t="shared" si="39"/>
        <v>0.20179518061610766</v>
      </c>
      <c r="AB56">
        <f t="shared" si="40"/>
        <v>0.15635261494317773</v>
      </c>
      <c r="AC56" s="14">
        <f t="shared" si="41"/>
        <v>0.12475029874401261</v>
      </c>
    </row>
    <row r="57" spans="16:38" x14ac:dyDescent="0.2">
      <c r="P57" s="172">
        <f t="shared" si="20"/>
        <v>4.1000000000000014</v>
      </c>
      <c r="Q57" s="16">
        <f t="shared" si="17"/>
        <v>4.0600000000000005</v>
      </c>
      <c r="R57" s="180">
        <f t="shared" si="32"/>
        <v>69.188593756909185</v>
      </c>
      <c r="S57" s="180">
        <f t="shared" si="18"/>
        <v>20.811406243090815</v>
      </c>
      <c r="T57" s="180">
        <f t="shared" si="33"/>
        <v>-0.73717127908632651</v>
      </c>
      <c r="U57" s="180">
        <f t="shared" si="34"/>
        <v>-27.017750161344001</v>
      </c>
      <c r="V57" s="180">
        <f t="shared" si="19"/>
        <v>152.982249838656</v>
      </c>
      <c r="W57" s="180">
        <f t="shared" si="35"/>
        <v>0.98473564068457886</v>
      </c>
      <c r="X57">
        <f t="shared" si="36"/>
        <v>0.56924173345520312</v>
      </c>
      <c r="Y57">
        <f t="shared" si="37"/>
        <v>0.37295521944430199</v>
      </c>
      <c r="Z57">
        <f t="shared" si="38"/>
        <v>0.26385035559796388</v>
      </c>
      <c r="AA57">
        <f t="shared" si="39"/>
        <v>0.19672590874186785</v>
      </c>
      <c r="AB57">
        <f t="shared" si="40"/>
        <v>0.15241669419723447</v>
      </c>
      <c r="AC57" s="14">
        <f t="shared" si="41"/>
        <v>0.12160538475881152</v>
      </c>
    </row>
    <row r="58" spans="16:38" x14ac:dyDescent="0.2">
      <c r="P58" s="172">
        <f t="shared" si="20"/>
        <v>4.2000000000000011</v>
      </c>
      <c r="Q58" s="16">
        <f t="shared" si="17"/>
        <v>4.120000000000001</v>
      </c>
      <c r="R58" s="180">
        <f t="shared" si="32"/>
        <v>69.813039452075088</v>
      </c>
      <c r="S58" s="180">
        <f t="shared" si="18"/>
        <v>20.186960547924912</v>
      </c>
      <c r="T58" s="180">
        <f t="shared" si="33"/>
        <v>-0.63717127908632687</v>
      </c>
      <c r="U58" s="180">
        <f t="shared" si="34"/>
        <v>-23.88457803217937</v>
      </c>
      <c r="V58" s="180">
        <f t="shared" si="19"/>
        <v>156.11542196782062</v>
      </c>
      <c r="W58" s="180">
        <f t="shared" si="35"/>
        <v>0.96297599678798562</v>
      </c>
      <c r="X58">
        <f t="shared" si="36"/>
        <v>0.55637943391193634</v>
      </c>
      <c r="Y58">
        <f t="shared" si="37"/>
        <v>0.36444342550180903</v>
      </c>
      <c r="Z58">
        <f t="shared" si="38"/>
        <v>0.25779595031796282</v>
      </c>
      <c r="AA58">
        <f t="shared" si="39"/>
        <v>0.19219695240139481</v>
      </c>
      <c r="AB58">
        <f t="shared" si="40"/>
        <v>0.14890028914732534</v>
      </c>
      <c r="AC58" s="14">
        <f t="shared" si="41"/>
        <v>0.11879567589196269</v>
      </c>
    </row>
    <row r="59" spans="16:38" x14ac:dyDescent="0.2">
      <c r="P59" s="172">
        <f t="shared" si="20"/>
        <v>4.3000000000000007</v>
      </c>
      <c r="Q59" s="16">
        <f t="shared" si="17"/>
        <v>4.1800000000000006</v>
      </c>
      <c r="R59" s="180">
        <f t="shared" si="32"/>
        <v>70.362474537250833</v>
      </c>
      <c r="S59" s="180">
        <f t="shared" si="18"/>
        <v>19.637525462749167</v>
      </c>
      <c r="T59" s="180">
        <f t="shared" si="33"/>
        <v>-0.53717127908632722</v>
      </c>
      <c r="U59" s="180">
        <f t="shared" si="34"/>
        <v>-20.547192322339381</v>
      </c>
      <c r="V59" s="180">
        <f t="shared" si="19"/>
        <v>159.45280767766062</v>
      </c>
      <c r="W59" s="180">
        <f t="shared" si="35"/>
        <v>0.9439740885147696</v>
      </c>
      <c r="X59">
        <f t="shared" si="36"/>
        <v>0.54514725395231622</v>
      </c>
      <c r="Y59">
        <f t="shared" si="37"/>
        <v>0.35701038438659616</v>
      </c>
      <c r="Z59">
        <f t="shared" si="38"/>
        <v>0.25250885764649372</v>
      </c>
      <c r="AA59">
        <f t="shared" si="39"/>
        <v>0.18824197899447506</v>
      </c>
      <c r="AB59">
        <f t="shared" si="40"/>
        <v>0.14582954007958399</v>
      </c>
      <c r="AC59" s="14">
        <f t="shared" si="41"/>
        <v>0.11634205898462616</v>
      </c>
    </row>
    <row r="60" spans="16:38" x14ac:dyDescent="0.2">
      <c r="P60" s="172">
        <f t="shared" si="20"/>
        <v>4.4000000000000004</v>
      </c>
      <c r="Q60" s="16">
        <f t="shared" si="17"/>
        <v>4.24</v>
      </c>
      <c r="R60" s="180">
        <f t="shared" si="32"/>
        <v>70.830382626541933</v>
      </c>
      <c r="S60" s="180">
        <f t="shared" si="18"/>
        <v>19.169617373458067</v>
      </c>
      <c r="T60" s="180">
        <f t="shared" si="33"/>
        <v>-0.43717127908632758</v>
      </c>
      <c r="U60" s="180">
        <f t="shared" si="34"/>
        <v>-17.017680040622867</v>
      </c>
      <c r="V60" s="180">
        <f t="shared" si="19"/>
        <v>162.98231995937712</v>
      </c>
      <c r="W60" s="180">
        <f t="shared" si="35"/>
        <v>0.92789411347246253</v>
      </c>
      <c r="X60">
        <f t="shared" si="36"/>
        <v>0.53564225209542515</v>
      </c>
      <c r="Y60">
        <f t="shared" si="37"/>
        <v>0.35072032583550122</v>
      </c>
      <c r="Z60">
        <f t="shared" si="38"/>
        <v>0.24803476394068308</v>
      </c>
      <c r="AA60">
        <f t="shared" si="39"/>
        <v>0.1848951638871788</v>
      </c>
      <c r="AB60">
        <f t="shared" si="40"/>
        <v>0.14323098167900122</v>
      </c>
      <c r="AC60" s="14">
        <f t="shared" si="41"/>
        <v>0.11426573601400293</v>
      </c>
    </row>
    <row r="61" spans="16:38" x14ac:dyDescent="0.2">
      <c r="P61" s="172">
        <f t="shared" si="20"/>
        <v>4.5</v>
      </c>
      <c r="Q61" s="16">
        <f t="shared" si="17"/>
        <v>4.3</v>
      </c>
      <c r="R61" s="180">
        <f t="shared" si="32"/>
        <v>71.210616704774196</v>
      </c>
      <c r="S61" s="180">
        <f t="shared" si="18"/>
        <v>18.789383295225804</v>
      </c>
      <c r="T61" s="180">
        <f t="shared" si="33"/>
        <v>-0.33717127908632794</v>
      </c>
      <c r="U61" s="180">
        <f t="shared" si="34"/>
        <v>-13.316083291263507</v>
      </c>
      <c r="V61" s="180">
        <f t="shared" si="19"/>
        <v>166.68391670873649</v>
      </c>
      <c r="W61" s="180">
        <f t="shared" si="35"/>
        <v>0.9148943033728687</v>
      </c>
      <c r="X61">
        <f t="shared" si="36"/>
        <v>0.52795796037166498</v>
      </c>
      <c r="Y61">
        <f t="shared" si="37"/>
        <v>0.34563514588563055</v>
      </c>
      <c r="Z61">
        <f t="shared" si="38"/>
        <v>0.24441769560629206</v>
      </c>
      <c r="AA61">
        <f t="shared" si="39"/>
        <v>0.18218944073034357</v>
      </c>
      <c r="AB61">
        <f t="shared" si="40"/>
        <v>0.14113018452904291</v>
      </c>
      <c r="AC61" s="14">
        <f t="shared" si="41"/>
        <v>0.11258713861242053</v>
      </c>
    </row>
    <row r="62" spans="16:38" x14ac:dyDescent="0.2">
      <c r="P62" s="172">
        <f t="shared" si="20"/>
        <v>4.5999999999999996</v>
      </c>
      <c r="Q62" s="16">
        <f t="shared" si="17"/>
        <v>4.3599999999999994</v>
      </c>
      <c r="R62" s="180">
        <f t="shared" si="32"/>
        <v>71.497726195269337</v>
      </c>
      <c r="S62" s="180">
        <f t="shared" si="18"/>
        <v>18.502273804730663</v>
      </c>
      <c r="T62" s="180">
        <f t="shared" si="33"/>
        <v>-0.23717127908632829</v>
      </c>
      <c r="U62" s="180">
        <f t="shared" si="34"/>
        <v>-9.4707743714282557</v>
      </c>
      <c r="V62" s="180">
        <f t="shared" si="19"/>
        <v>170.52922562857174</v>
      </c>
      <c r="W62" s="180">
        <f t="shared" si="35"/>
        <v>0.90511722011073736</v>
      </c>
      <c r="X62">
        <f t="shared" si="36"/>
        <v>0.52217864825724747</v>
      </c>
      <c r="Y62">
        <f t="shared" si="37"/>
        <v>0.3418106109584349</v>
      </c>
      <c r="Z62">
        <f t="shared" si="38"/>
        <v>0.24169731907777153</v>
      </c>
      <c r="AA62">
        <f t="shared" si="39"/>
        <v>0.18015448172817461</v>
      </c>
      <c r="AB62">
        <f t="shared" si="40"/>
        <v>0.13955018693718324</v>
      </c>
      <c r="AC62" s="14">
        <f t="shared" si="41"/>
        <v>0.11132467505078886</v>
      </c>
    </row>
    <row r="63" spans="16:38" x14ac:dyDescent="0.2">
      <c r="P63" s="172">
        <f t="shared" si="20"/>
        <v>4.6999999999999993</v>
      </c>
      <c r="Q63" s="16">
        <f t="shared" si="17"/>
        <v>4.42</v>
      </c>
      <c r="R63" s="180">
        <f t="shared" si="32"/>
        <v>71.687297214351972</v>
      </c>
      <c r="S63" s="180">
        <f t="shared" si="18"/>
        <v>18.312702785648028</v>
      </c>
      <c r="T63" s="180">
        <f t="shared" si="33"/>
        <v>-0.13717127908632865</v>
      </c>
      <c r="U63" s="180">
        <f t="shared" si="34"/>
        <v>-5.518005111338649</v>
      </c>
      <c r="V63" s="180">
        <f t="shared" si="19"/>
        <v>174.48199488866135</v>
      </c>
      <c r="W63" s="180">
        <f t="shared" si="35"/>
        <v>0.89867964668795031</v>
      </c>
      <c r="X63">
        <f t="shared" si="36"/>
        <v>0.51837334711862804</v>
      </c>
      <c r="Y63">
        <f t="shared" si="37"/>
        <v>0.33929240345812695</v>
      </c>
      <c r="Z63">
        <f t="shared" si="38"/>
        <v>0.23990612806809614</v>
      </c>
      <c r="AA63">
        <f t="shared" si="39"/>
        <v>0.17881459357977728</v>
      </c>
      <c r="AB63">
        <f t="shared" si="40"/>
        <v>0.13850986128660614</v>
      </c>
      <c r="AC63" s="14">
        <f t="shared" si="41"/>
        <v>0.11049342490657915</v>
      </c>
    </row>
    <row r="64" spans="16:38" x14ac:dyDescent="0.2">
      <c r="P64" s="172">
        <f t="shared" si="20"/>
        <v>4.7999999999999989</v>
      </c>
      <c r="Q64" s="16">
        <f t="shared" si="17"/>
        <v>4.4799999999999995</v>
      </c>
      <c r="R64" s="180">
        <f t="shared" si="32"/>
        <v>71.776263821775714</v>
      </c>
      <c r="S64" s="180">
        <f t="shared" si="18"/>
        <v>18.223736178224286</v>
      </c>
      <c r="T64" s="180">
        <f t="shared" si="33"/>
        <v>-3.7171279086329001E-2</v>
      </c>
      <c r="U64" s="180">
        <f t="shared" si="34"/>
        <v>-1.500492603904799</v>
      </c>
      <c r="V64" s="180">
        <f t="shared" si="19"/>
        <v>178.4995073960952</v>
      </c>
      <c r="W64" s="180">
        <f t="shared" si="35"/>
        <v>0.8956633289944711</v>
      </c>
      <c r="X64">
        <f t="shared" si="36"/>
        <v>0.51659037760517657</v>
      </c>
      <c r="Y64">
        <f t="shared" si="37"/>
        <v>0.33811250020263245</v>
      </c>
      <c r="Z64">
        <f t="shared" si="38"/>
        <v>0.23906686756106088</v>
      </c>
      <c r="AA64">
        <f t="shared" si="39"/>
        <v>0.17818679051426373</v>
      </c>
      <c r="AB64">
        <f t="shared" si="40"/>
        <v>0.13802241788818082</v>
      </c>
      <c r="AC64" s="14">
        <f t="shared" si="41"/>
        <v>0.11010394359848071</v>
      </c>
    </row>
    <row r="65" spans="16:29" x14ac:dyDescent="0.2">
      <c r="P65" s="172">
        <f t="shared" si="20"/>
        <v>4.8999999999999986</v>
      </c>
      <c r="Q65" s="16">
        <f t="shared" si="17"/>
        <v>4.5399999999999991</v>
      </c>
      <c r="R65" s="180">
        <f t="shared" si="32"/>
        <v>71.763143467172739</v>
      </c>
      <c r="S65" s="180">
        <f t="shared" si="18"/>
        <v>18.236856532827261</v>
      </c>
      <c r="T65" s="180">
        <f t="shared" si="33"/>
        <v>6.2828720913670644E-2</v>
      </c>
      <c r="U65" s="180">
        <f t="shared" si="34"/>
        <v>2.5349065106455564</v>
      </c>
      <c r="V65" s="180">
        <f t="shared" si="19"/>
        <v>-177.46509348935444</v>
      </c>
      <c r="W65" s="180">
        <f t="shared" si="35"/>
        <v>0.89610796634795298</v>
      </c>
      <c r="X65">
        <f t="shared" si="36"/>
        <v>0.51685320630107745</v>
      </c>
      <c r="Y65">
        <f t="shared" si="37"/>
        <v>0.338286430509119</v>
      </c>
      <c r="Z65">
        <f t="shared" si="38"/>
        <v>0.23919058349838956</v>
      </c>
      <c r="AA65">
        <f t="shared" si="39"/>
        <v>0.17827933537257265</v>
      </c>
      <c r="AB65">
        <f t="shared" si="40"/>
        <v>0.13809427223665233</v>
      </c>
      <c r="AC65" s="14">
        <f t="shared" si="41"/>
        <v>0.11016135729148721</v>
      </c>
    </row>
    <row r="66" spans="16:29" x14ac:dyDescent="0.2">
      <c r="P66" s="172">
        <f t="shared" si="20"/>
        <v>4.9999999999999982</v>
      </c>
      <c r="Q66" s="16">
        <f t="shared" si="17"/>
        <v>5.5999999999999988</v>
      </c>
      <c r="R66" s="180">
        <f t="shared" si="32"/>
        <v>71.648156586031718</v>
      </c>
      <c r="S66" s="180">
        <f t="shared" si="18"/>
        <v>18.351843413968282</v>
      </c>
      <c r="T66" s="180">
        <f t="shared" si="33"/>
        <v>0.16282872091367029</v>
      </c>
      <c r="U66" s="180">
        <f t="shared" si="34"/>
        <v>6.540158978930835</v>
      </c>
      <c r="V66" s="180">
        <f t="shared" si="19"/>
        <v>-173.45984102106917</v>
      </c>
      <c r="W66" s="180">
        <f t="shared" si="35"/>
        <v>0.90000764919720422</v>
      </c>
      <c r="X66">
        <f t="shared" si="36"/>
        <v>0.51915834002335604</v>
      </c>
      <c r="Y66">
        <f t="shared" si="37"/>
        <v>0.33981188271833912</v>
      </c>
      <c r="Z66">
        <f t="shared" si="38"/>
        <v>0.24027563160602583</v>
      </c>
      <c r="AA66">
        <f t="shared" si="39"/>
        <v>0.17909099816677471</v>
      </c>
      <c r="AB66">
        <f t="shared" si="40"/>
        <v>0.13872446933589339</v>
      </c>
      <c r="AC66" s="14">
        <f t="shared" si="41"/>
        <v>0.1106649029162001</v>
      </c>
    </row>
    <row r="67" spans="16:29" x14ac:dyDescent="0.2">
      <c r="P67" s="172">
        <f t="shared" si="20"/>
        <v>5.0999999999999979</v>
      </c>
      <c r="Q67" s="16">
        <f t="shared" si="17"/>
        <v>5.0599999999999987</v>
      </c>
      <c r="R67" s="180">
        <f t="shared" si="32"/>
        <v>71.433208578718606</v>
      </c>
      <c r="S67" s="180">
        <f t="shared" si="18"/>
        <v>18.566791421281394</v>
      </c>
      <c r="T67" s="180">
        <f t="shared" si="33"/>
        <v>0.26282872091366993</v>
      </c>
      <c r="U67" s="180">
        <f t="shared" si="34"/>
        <v>10.469206359737406</v>
      </c>
      <c r="V67" s="180">
        <f t="shared" si="19"/>
        <v>-169.5307936402626</v>
      </c>
      <c r="W67" s="180">
        <f t="shared" si="35"/>
        <v>0.90731139597124066</v>
      </c>
      <c r="X67">
        <f t="shared" si="36"/>
        <v>0.52347564315764739</v>
      </c>
      <c r="Y67">
        <f t="shared" si="37"/>
        <v>0.34266891419570072</v>
      </c>
      <c r="Z67">
        <f t="shared" si="38"/>
        <v>0.24230782676706153</v>
      </c>
      <c r="AA67">
        <f t="shared" si="39"/>
        <v>0.18061116781746744</v>
      </c>
      <c r="AB67">
        <f t="shared" si="40"/>
        <v>0.13990477045486069</v>
      </c>
      <c r="AC67" s="14">
        <f t="shared" si="41"/>
        <v>0.11160799748933516</v>
      </c>
    </row>
    <row r="68" spans="16:29" x14ac:dyDescent="0.2">
      <c r="P68" s="172">
        <f t="shared" si="20"/>
        <v>5.1999999999999975</v>
      </c>
      <c r="Q68" s="16">
        <f t="shared" si="17"/>
        <v>5.1199999999999983</v>
      </c>
      <c r="R68" s="180">
        <f t="shared" si="32"/>
        <v>71.1217375117606</v>
      </c>
      <c r="S68" s="180">
        <f t="shared" si="18"/>
        <v>18.8782624882394</v>
      </c>
      <c r="T68" s="180">
        <f t="shared" si="33"/>
        <v>0.36282872091366958</v>
      </c>
      <c r="U68" s="180">
        <f t="shared" si="34"/>
        <v>14.280801927304315</v>
      </c>
      <c r="V68" s="180">
        <f t="shared" si="19"/>
        <v>-165.71919807269569</v>
      </c>
      <c r="W68" s="180">
        <f t="shared" si="35"/>
        <v>0.91792768902867761</v>
      </c>
      <c r="X68">
        <f t="shared" si="36"/>
        <v>0.52975101889416099</v>
      </c>
      <c r="Y68">
        <f t="shared" si="37"/>
        <v>0.34682172567402503</v>
      </c>
      <c r="Z68">
        <f t="shared" si="38"/>
        <v>0.24526170510470507</v>
      </c>
      <c r="AA68">
        <f t="shared" si="39"/>
        <v>0.18282079624628225</v>
      </c>
      <c r="AB68">
        <f t="shared" si="40"/>
        <v>0.14162038614673014</v>
      </c>
      <c r="AC68" s="14">
        <f t="shared" si="41"/>
        <v>0.11297882381711419</v>
      </c>
    </row>
    <row r="69" spans="16:29" x14ac:dyDescent="0.2">
      <c r="P69" s="172">
        <f t="shared" si="20"/>
        <v>5.2999999999999972</v>
      </c>
      <c r="Q69" s="16">
        <f t="shared" si="17"/>
        <v>5.1799999999999979</v>
      </c>
      <c r="R69" s="180">
        <f t="shared" ref="R69:R100" si="43">180/PI()*ASIN(SIN(RADIANS($B$22))*SIN(RADIANS($B$24)) + COS(RADIANS($B$22))*COS(RADIANS($B$24))*COS(RADIANS(15*(P69+$B$25-$B$23))))</f>
        <v>70.718454915902257</v>
      </c>
      <c r="S69" s="180">
        <f t="shared" si="18"/>
        <v>19.281545084097743</v>
      </c>
      <c r="T69" s="180">
        <f t="shared" ref="T69:T100" si="44">$B$25 + P69 - $B$23</f>
        <v>0.46282872091366922</v>
      </c>
      <c r="U69" s="180">
        <f t="shared" ref="U69:U100" si="45">180/PI()*ATAN2(TAN(RADIANS($B$22))*COS(RADIANS($B$24)) - SIN(RADIANS($B$24))*COS(RADIANS(15*T69)),SIN(RADIANS(15*T69)))</f>
        <v>17.940619965333095</v>
      </c>
      <c r="V69" s="180">
        <f t="shared" si="19"/>
        <v>-162.0593800346669</v>
      </c>
      <c r="W69" s="180">
        <f t="shared" ref="W69:W100" si="46">$B$20*TAN(RADIANS(S69))*6085*(1/(146 - $W$4^-2) - 1/(146-$B$9^-2)) + 52.6*(1/(41 - $W$4^-2) - 1/(41 - $B$9^-2))</f>
        <v>0.93173218988467599</v>
      </c>
      <c r="X69">
        <f t="shared" ref="X69:X100" si="47">$B$20*TAN(RADIANS(S69))*6085*(1/(146 - $X$4^-2) - 1/(146-$B$9^-2)) + 52.6*(1/(41 - $X$4^-2) - 1/(41 - $B$9^-2))</f>
        <v>0.53791096976003583</v>
      </c>
      <c r="Y69">
        <f t="shared" ref="Y69:Y100" si="48">$B$20*TAN(RADIANS(S69))*6085*(1/(146 - $Y$4^-2) - 1/(146-$B$9^-2)) + 52.6*(1/(41 - $Y$4^-2) - 1/(41 - $B$9^-2))</f>
        <v>0.35222167924512293</v>
      </c>
      <c r="Z69">
        <f t="shared" ref="Z69:Z100" si="49">$B$20*TAN(RADIANS(S69))*6085*(1/(146 - $Z$4^-2) - 1/(146-$B$9^-2)) + 52.6*(1/(41 - $Z$4^-2) - 1/(41 - $B$9^-2))</f>
        <v>0.24910267066772246</v>
      </c>
      <c r="AA69">
        <f t="shared" ref="AA69:AA100" si="50">$B$20*TAN(RADIANS(S69))*6085*(1/(146 - $AA$4^-2) - 1/(146-$B$9^-2)) + 52.6*(1/(41 - $AA$4^-2) - 1/(41 - $B$9^-2))</f>
        <v>0.18569400418920398</v>
      </c>
      <c r="AB69">
        <f t="shared" ref="AB69:AB100" si="51">$B$20*TAN(RADIANS(S69))*6085*(1/(146 - $AB$4^-2) - 1/(146-$B$9^-2)) + 52.6*(1/(41 - $AB$4^-2) - 1/(41 - $B$9^-2))</f>
        <v>0.14385122304609263</v>
      </c>
      <c r="AC69" s="14">
        <f t="shared" ref="AC69:AC100" si="52">$B$20*TAN(RADIANS(S69))*6085*(1/(146 - $AC$4^-2) - 1/(146-$B$9^-2)) + 52.6*(1/(41 - $AC$4^-2) - 1/(41 - $B$9^-2))</f>
        <v>0.11476132672211778</v>
      </c>
    </row>
    <row r="70" spans="16:29" x14ac:dyDescent="0.2">
      <c r="P70" s="172">
        <f t="shared" si="20"/>
        <v>5.3999999999999968</v>
      </c>
      <c r="Q70" s="16">
        <f t="shared" si="17"/>
        <v>5.2399999999999984</v>
      </c>
      <c r="R70" s="180">
        <f t="shared" si="43"/>
        <v>70.229022638164338</v>
      </c>
      <c r="S70" s="180">
        <f t="shared" si="18"/>
        <v>19.770977361835662</v>
      </c>
      <c r="T70" s="180">
        <f t="shared" si="44"/>
        <v>0.56282872091366887</v>
      </c>
      <c r="U70" s="180">
        <f t="shared" si="45"/>
        <v>21.4224190883013</v>
      </c>
      <c r="V70" s="180">
        <f t="shared" si="19"/>
        <v>-158.5775809116987</v>
      </c>
      <c r="W70" s="180">
        <f t="shared" si="46"/>
        <v>0.94857734868743759</v>
      </c>
      <c r="X70">
        <f t="shared" si="47"/>
        <v>0.54786827785775416</v>
      </c>
      <c r="Y70">
        <f t="shared" si="48"/>
        <v>0.35881105733141261</v>
      </c>
      <c r="Z70">
        <f t="shared" si="49"/>
        <v>0.25378966917204371</v>
      </c>
      <c r="AA70">
        <f t="shared" si="50"/>
        <v>0.18920008127063945</v>
      </c>
      <c r="AB70">
        <f t="shared" si="51"/>
        <v>0.14657343678093349</v>
      </c>
      <c r="AC70" s="14">
        <f t="shared" si="52"/>
        <v>0.11693645386466289</v>
      </c>
    </row>
    <row r="71" spans="16:29" x14ac:dyDescent="0.2">
      <c r="P71" s="172">
        <f t="shared" si="20"/>
        <v>5.4999999999999964</v>
      </c>
      <c r="Q71" s="16">
        <f t="shared" ref="Q71:Q134" si="53">IF(P71&lt;0,INT(24+P71)+0.6*MOD(24+P71,1),INT(P71)+0.6*MOD(P71,1))</f>
        <v>5.299999999999998</v>
      </c>
      <c r="R71" s="180">
        <f t="shared" si="43"/>
        <v>69.659712338851804</v>
      </c>
      <c r="S71" s="180">
        <f t="shared" ref="S71:S134" si="54">IF(R71&lt;10,NA(),90-R71)</f>
        <v>20.340287661148196</v>
      </c>
      <c r="T71" s="180">
        <f t="shared" si="44"/>
        <v>0.66282872091366851</v>
      </c>
      <c r="U71" s="180">
        <f t="shared" si="45"/>
        <v>24.708261921946452</v>
      </c>
      <c r="V71" s="180">
        <f t="shared" ref="V71:V134" si="55">IF(U71&lt;0,U71+180,U71-180)</f>
        <v>-155.29173807805356</v>
      </c>
      <c r="W71" s="180">
        <f t="shared" si="46"/>
        <v>0.96830251723102512</v>
      </c>
      <c r="X71">
        <f t="shared" si="47"/>
        <v>0.55952798274790483</v>
      </c>
      <c r="Y71">
        <f t="shared" si="48"/>
        <v>0.36652701862755521</v>
      </c>
      <c r="Z71">
        <f t="shared" si="49"/>
        <v>0.25927800184636213</v>
      </c>
      <c r="AA71">
        <f t="shared" si="50"/>
        <v>0.19330559088131677</v>
      </c>
      <c r="AB71">
        <f t="shared" si="51"/>
        <v>0.14976106625716032</v>
      </c>
      <c r="AC71" s="14">
        <f t="shared" si="52"/>
        <v>0.11948346158318912</v>
      </c>
    </row>
    <row r="72" spans="16:29" x14ac:dyDescent="0.2">
      <c r="P72" s="172">
        <f t="shared" ref="P72:P135" si="56">P71+0.1</f>
        <v>5.5999999999999961</v>
      </c>
      <c r="Q72" s="16">
        <f t="shared" si="53"/>
        <v>5.3599999999999977</v>
      </c>
      <c r="R72" s="180">
        <f t="shared" si="43"/>
        <v>69.01708724036601</v>
      </c>
      <c r="S72" s="180">
        <f t="shared" si="54"/>
        <v>20.98291275963399</v>
      </c>
      <c r="T72" s="180">
        <f t="shared" si="44"/>
        <v>0.76282872091366816</v>
      </c>
      <c r="U72" s="180">
        <f t="shared" si="45"/>
        <v>27.7879656760269</v>
      </c>
      <c r="V72" s="180">
        <f t="shared" si="55"/>
        <v>-152.21203432397311</v>
      </c>
      <c r="W72" s="180">
        <f t="shared" si="46"/>
        <v>0.99074338789086647</v>
      </c>
      <c r="X72">
        <f t="shared" si="47"/>
        <v>0.57279296087945308</v>
      </c>
      <c r="Y72">
        <f t="shared" si="48"/>
        <v>0.37530529036097326</v>
      </c>
      <c r="Z72">
        <f t="shared" si="49"/>
        <v>0.26552195172240017</v>
      </c>
      <c r="AA72">
        <f t="shared" si="50"/>
        <v>0.19797633475670423</v>
      </c>
      <c r="AB72">
        <f t="shared" si="51"/>
        <v>0.15338755901079307</v>
      </c>
      <c r="AC72" s="14">
        <f t="shared" si="52"/>
        <v>0.12238113369457124</v>
      </c>
    </row>
    <row r="73" spans="16:29" x14ac:dyDescent="0.2">
      <c r="P73" s="172">
        <f t="shared" si="56"/>
        <v>5.6999999999999957</v>
      </c>
      <c r="Q73" s="16">
        <f t="shared" si="53"/>
        <v>5.4199999999999973</v>
      </c>
      <c r="R73" s="180">
        <f t="shared" si="43"/>
        <v>68.307732653003612</v>
      </c>
      <c r="S73" s="180">
        <f t="shared" si="54"/>
        <v>21.692267346996388</v>
      </c>
      <c r="T73" s="180">
        <f t="shared" si="44"/>
        <v>0.8628287209136678</v>
      </c>
      <c r="U73" s="180">
        <f t="shared" si="45"/>
        <v>30.658044112095492</v>
      </c>
      <c r="V73" s="180">
        <f t="shared" si="55"/>
        <v>-149.3419558879045</v>
      </c>
      <c r="W73" s="180">
        <f t="shared" si="46"/>
        <v>1.015739976045368</v>
      </c>
      <c r="X73">
        <f t="shared" si="47"/>
        <v>0.58756864406300047</v>
      </c>
      <c r="Y73">
        <f t="shared" si="48"/>
        <v>0.3850832908028734</v>
      </c>
      <c r="Z73">
        <f t="shared" si="49"/>
        <v>0.27247700466461861</v>
      </c>
      <c r="AA73">
        <f t="shared" si="50"/>
        <v>0.20317901440304936</v>
      </c>
      <c r="AB73">
        <f t="shared" si="51"/>
        <v>0.1574270611843902</v>
      </c>
      <c r="AC73" s="14">
        <f t="shared" si="52"/>
        <v>0.1256088122224201</v>
      </c>
    </row>
    <row r="74" spans="16:29" x14ac:dyDescent="0.2">
      <c r="P74" s="172">
        <f t="shared" si="56"/>
        <v>5.7999999999999954</v>
      </c>
      <c r="Q74" s="16">
        <f t="shared" si="53"/>
        <v>5.4799999999999969</v>
      </c>
      <c r="R74" s="180">
        <f t="shared" si="43"/>
        <v>67.538047667948547</v>
      </c>
      <c r="S74" s="180">
        <f t="shared" si="54"/>
        <v>22.461952332051453</v>
      </c>
      <c r="T74" s="180">
        <f t="shared" si="44"/>
        <v>0.96282872091366745</v>
      </c>
      <c r="U74" s="180">
        <f t="shared" si="45"/>
        <v>33.320404835295072</v>
      </c>
      <c r="V74" s="180">
        <f t="shared" si="55"/>
        <v>-146.67959516470492</v>
      </c>
      <c r="W74" s="180">
        <f t="shared" si="46"/>
        <v>1.0431427887245215</v>
      </c>
      <c r="X74">
        <f t="shared" si="47"/>
        <v>0.60376666580831417</v>
      </c>
      <c r="Y74">
        <f t="shared" si="48"/>
        <v>0.39580254227951206</v>
      </c>
      <c r="Z74">
        <f t="shared" si="49"/>
        <v>0.28010156573556155</v>
      </c>
      <c r="AA74">
        <f t="shared" si="50"/>
        <v>0.20888251501270216</v>
      </c>
      <c r="AB74">
        <f t="shared" si="51"/>
        <v>0.16185541439387338</v>
      </c>
      <c r="AC74" s="14">
        <f t="shared" si="52"/>
        <v>0.12914719392237381</v>
      </c>
    </row>
    <row r="75" spans="16:29" x14ac:dyDescent="0.2">
      <c r="P75" s="172">
        <f t="shared" si="56"/>
        <v>5.899999999999995</v>
      </c>
      <c r="Q75" s="16">
        <f t="shared" si="53"/>
        <v>5.5399999999999974</v>
      </c>
      <c r="R75" s="180">
        <f t="shared" si="43"/>
        <v>66.714098802299986</v>
      </c>
      <c r="S75" s="180">
        <f t="shared" si="54"/>
        <v>23.285901197700014</v>
      </c>
      <c r="T75" s="180">
        <f t="shared" si="44"/>
        <v>1.0628287209136671</v>
      </c>
      <c r="U75" s="180">
        <f t="shared" si="45"/>
        <v>35.781015477481922</v>
      </c>
      <c r="V75" s="180">
        <f t="shared" si="55"/>
        <v>-144.21898452251807</v>
      </c>
      <c r="W75" s="180">
        <f t="shared" si="46"/>
        <v>1.0728171698276698</v>
      </c>
      <c r="X75">
        <f t="shared" si="47"/>
        <v>0.62130742981730169</v>
      </c>
      <c r="Y75">
        <f t="shared" si="48"/>
        <v>0.40741037090581378</v>
      </c>
      <c r="Z75">
        <f t="shared" si="49"/>
        <v>0.28835816820963944</v>
      </c>
      <c r="AA75">
        <f t="shared" si="50"/>
        <v>0.21505880985858242</v>
      </c>
      <c r="AB75">
        <f t="shared" si="51"/>
        <v>0.1666508579250231</v>
      </c>
      <c r="AC75" s="14">
        <f t="shared" si="52"/>
        <v>0.13297889135731306</v>
      </c>
    </row>
    <row r="76" spans="16:29" x14ac:dyDescent="0.2">
      <c r="P76" s="172">
        <f t="shared" si="56"/>
        <v>5.9999999999999947</v>
      </c>
      <c r="Q76" s="16">
        <f t="shared" si="53"/>
        <v>5.599999999999997</v>
      </c>
      <c r="R76" s="180">
        <f t="shared" si="43"/>
        <v>65.841528811581497</v>
      </c>
      <c r="S76" s="180">
        <f t="shared" si="54"/>
        <v>24.158471188418503</v>
      </c>
      <c r="T76" s="180">
        <f t="shared" si="44"/>
        <v>1.1628287209136667</v>
      </c>
      <c r="U76" s="180">
        <f t="shared" si="45"/>
        <v>38.048681343417257</v>
      </c>
      <c r="V76" s="180">
        <f t="shared" si="55"/>
        <v>-141.95131865658274</v>
      </c>
      <c r="W76" s="180">
        <f t="shared" si="46"/>
        <v>1.1046460375473766</v>
      </c>
      <c r="X76">
        <f t="shared" si="47"/>
        <v>0.6401217280971544</v>
      </c>
      <c r="Y76">
        <f t="shared" si="48"/>
        <v>0.4198609773927805</v>
      </c>
      <c r="Z76">
        <f t="shared" si="49"/>
        <v>0.29721423523419294</v>
      </c>
      <c r="AA76">
        <f t="shared" si="50"/>
        <v>0.22168353004951405</v>
      </c>
      <c r="AB76">
        <f t="shared" si="51"/>
        <v>0.17179447110703799</v>
      </c>
      <c r="AC76" s="14">
        <f t="shared" si="52"/>
        <v>0.13708878636657004</v>
      </c>
    </row>
    <row r="77" spans="16:29" x14ac:dyDescent="0.2">
      <c r="P77" s="172">
        <f t="shared" si="56"/>
        <v>6.0999999999999943</v>
      </c>
      <c r="Q77" s="16">
        <f t="shared" si="53"/>
        <v>6.0599999999999969</v>
      </c>
      <c r="R77" s="180">
        <f t="shared" si="43"/>
        <v>64.92551021362172</v>
      </c>
      <c r="S77" s="180">
        <f t="shared" si="54"/>
        <v>25.07448978637828</v>
      </c>
      <c r="T77" s="180">
        <f t="shared" si="44"/>
        <v>1.2628287209136664</v>
      </c>
      <c r="U77" s="180">
        <f t="shared" si="45"/>
        <v>40.134009853721835</v>
      </c>
      <c r="V77" s="180">
        <f t="shared" si="55"/>
        <v>-139.86599014627816</v>
      </c>
      <c r="W77" s="180">
        <f t="shared" si="46"/>
        <v>1.1385313374589023</v>
      </c>
      <c r="X77">
        <f t="shared" si="47"/>
        <v>0.66015159989315897</v>
      </c>
      <c r="Y77">
        <f t="shared" si="48"/>
        <v>0.43311600545744655</v>
      </c>
      <c r="Z77">
        <f t="shared" si="49"/>
        <v>0.30664248413724055</v>
      </c>
      <c r="AA77">
        <f t="shared" si="50"/>
        <v>0.22873626696986243</v>
      </c>
      <c r="AB77">
        <f t="shared" si="51"/>
        <v>0.17727040813490591</v>
      </c>
      <c r="AC77" s="14">
        <f t="shared" si="52"/>
        <v>0.14146421769576345</v>
      </c>
    </row>
    <row r="78" spans="16:29" x14ac:dyDescent="0.2">
      <c r="P78" s="172">
        <f t="shared" si="56"/>
        <v>6.199999999999994</v>
      </c>
      <c r="Q78" s="16">
        <f t="shared" si="53"/>
        <v>6.1199999999999966</v>
      </c>
      <c r="R78" s="180">
        <f t="shared" si="43"/>
        <v>63.970732311697702</v>
      </c>
      <c r="S78" s="180">
        <f t="shared" si="54"/>
        <v>26.029267688302298</v>
      </c>
      <c r="T78" s="180">
        <f t="shared" si="44"/>
        <v>1.362828720913666</v>
      </c>
      <c r="U78" s="180">
        <f t="shared" si="45"/>
        <v>42.048585792658798</v>
      </c>
      <c r="V78" s="180">
        <f t="shared" si="55"/>
        <v>-137.9514142073412</v>
      </c>
      <c r="W78" s="180">
        <f t="shared" si="46"/>
        <v>1.1743945551841803</v>
      </c>
      <c r="X78">
        <f t="shared" si="47"/>
        <v>0.68135063472847357</v>
      </c>
      <c r="Y78">
        <f t="shared" si="48"/>
        <v>0.44714474236339019</v>
      </c>
      <c r="Z78">
        <f t="shared" si="49"/>
        <v>0.31662106907114868</v>
      </c>
      <c r="AA78">
        <f t="shared" si="50"/>
        <v>0.23620067898315342</v>
      </c>
      <c r="AB78">
        <f t="shared" si="51"/>
        <v>0.18306598091700016</v>
      </c>
      <c r="AC78" s="14">
        <f t="shared" si="52"/>
        <v>0.14609504719441258</v>
      </c>
    </row>
    <row r="79" spans="16:29" x14ac:dyDescent="0.2">
      <c r="P79" s="172">
        <f t="shared" si="56"/>
        <v>6.2999999999999936</v>
      </c>
      <c r="Q79" s="16">
        <f t="shared" si="53"/>
        <v>6.1799999999999962</v>
      </c>
      <c r="R79" s="180">
        <f t="shared" si="43"/>
        <v>62.981411510395262</v>
      </c>
      <c r="S79" s="180">
        <f t="shared" si="54"/>
        <v>27.018588489604738</v>
      </c>
      <c r="T79" s="180">
        <f t="shared" si="44"/>
        <v>1.4628287209136657</v>
      </c>
      <c r="U79" s="180">
        <f t="shared" si="45"/>
        <v>43.804348460933127</v>
      </c>
      <c r="V79" s="180">
        <f t="shared" si="55"/>
        <v>-136.19565153906689</v>
      </c>
      <c r="W79" s="180">
        <f t="shared" si="46"/>
        <v>1.2121766006566792</v>
      </c>
      <c r="X79">
        <f t="shared" si="47"/>
        <v>0.70368390399216263</v>
      </c>
      <c r="Y79">
        <f t="shared" si="48"/>
        <v>0.46192407364822613</v>
      </c>
      <c r="Z79">
        <f t="shared" si="49"/>
        <v>0.32713354881047702</v>
      </c>
      <c r="AA79">
        <f t="shared" si="50"/>
        <v>0.24406446734347234</v>
      </c>
      <c r="AB79">
        <f t="shared" si="51"/>
        <v>0.18917164037203343</v>
      </c>
      <c r="AC79" s="14">
        <f t="shared" si="52"/>
        <v>0.15097364487166526</v>
      </c>
    </row>
    <row r="80" spans="16:29" x14ac:dyDescent="0.2">
      <c r="P80" s="172">
        <f t="shared" si="56"/>
        <v>6.3999999999999932</v>
      </c>
      <c r="Q80" s="16">
        <f t="shared" si="53"/>
        <v>6.2399999999999958</v>
      </c>
      <c r="R80" s="180">
        <f t="shared" si="43"/>
        <v>61.961316531614919</v>
      </c>
      <c r="S80" s="180">
        <f t="shared" si="54"/>
        <v>28.038683468385081</v>
      </c>
      <c r="T80" s="180">
        <f t="shared" si="44"/>
        <v>1.5628287209136653</v>
      </c>
      <c r="U80" s="180">
        <f t="shared" si="45"/>
        <v>45.413144529147971</v>
      </c>
      <c r="V80" s="180">
        <f t="shared" si="55"/>
        <v>-134.58685547085202</v>
      </c>
      <c r="W80" s="180">
        <f t="shared" si="46"/>
        <v>1.2518373205910043</v>
      </c>
      <c r="X80">
        <f t="shared" si="47"/>
        <v>0.72712767275607915</v>
      </c>
      <c r="Y80">
        <f t="shared" si="48"/>
        <v>0.47743829241468089</v>
      </c>
      <c r="Z80">
        <f t="shared" si="49"/>
        <v>0.33816875110147659</v>
      </c>
      <c r="AA80">
        <f t="shared" si="50"/>
        <v>0.25231927472303661</v>
      </c>
      <c r="AB80">
        <f t="shared" si="51"/>
        <v>0.19558089764310155</v>
      </c>
      <c r="AC80" s="14">
        <f t="shared" si="52"/>
        <v>0.15609482594405072</v>
      </c>
    </row>
    <row r="81" spans="16:29" x14ac:dyDescent="0.2">
      <c r="P81" s="172">
        <f t="shared" si="56"/>
        <v>6.4999999999999929</v>
      </c>
      <c r="Q81" s="16">
        <f t="shared" si="53"/>
        <v>6.2999999999999954</v>
      </c>
      <c r="R81" s="180">
        <f t="shared" si="43"/>
        <v>60.913802123951051</v>
      </c>
      <c r="S81" s="180">
        <f t="shared" si="54"/>
        <v>29.086197876048949</v>
      </c>
      <c r="T81" s="180">
        <f t="shared" si="44"/>
        <v>1.662828720913665</v>
      </c>
      <c r="U81" s="180">
        <f t="shared" si="45"/>
        <v>46.886424090796702</v>
      </c>
      <c r="V81" s="180">
        <f t="shared" si="55"/>
        <v>-133.11357590920329</v>
      </c>
      <c r="W81" s="180">
        <f t="shared" si="46"/>
        <v>1.2933548359269638</v>
      </c>
      <c r="X81">
        <f t="shared" si="47"/>
        <v>0.75166900813275273</v>
      </c>
      <c r="Y81">
        <f t="shared" si="48"/>
        <v>0.49367884015633334</v>
      </c>
      <c r="Z81">
        <f t="shared" si="49"/>
        <v>0.34972058831246666</v>
      </c>
      <c r="AA81">
        <f t="shared" si="50"/>
        <v>0.26096054731072454</v>
      </c>
      <c r="AB81">
        <f t="shared" si="51"/>
        <v>0.20229021702722555</v>
      </c>
      <c r="AC81" s="14">
        <f t="shared" si="52"/>
        <v>0.16145576528310129</v>
      </c>
    </row>
    <row r="82" spans="16:29" x14ac:dyDescent="0.2">
      <c r="P82" s="172">
        <f t="shared" si="56"/>
        <v>6.5999999999999925</v>
      </c>
      <c r="Q82" s="16">
        <f t="shared" si="53"/>
        <v>6.3599999999999959</v>
      </c>
      <c r="R82" s="180">
        <f t="shared" si="43"/>
        <v>59.841846666100899</v>
      </c>
      <c r="S82" s="180">
        <f t="shared" si="54"/>
        <v>30.158153333899101</v>
      </c>
      <c r="T82" s="180">
        <f t="shared" si="44"/>
        <v>1.7628287209136646</v>
      </c>
      <c r="U82" s="180">
        <f t="shared" si="45"/>
        <v>48.235047786080209</v>
      </c>
      <c r="V82" s="180">
        <f t="shared" si="55"/>
        <v>-131.7649522139198</v>
      </c>
      <c r="W82" s="180">
        <f t="shared" si="46"/>
        <v>1.3367248472177262</v>
      </c>
      <c r="X82">
        <f t="shared" si="47"/>
        <v>0.77730536868477385</v>
      </c>
      <c r="Y82">
        <f t="shared" si="48"/>
        <v>0.51064403504393729</v>
      </c>
      <c r="Z82">
        <f t="shared" si="49"/>
        <v>0.36178786416497305</v>
      </c>
      <c r="AA82">
        <f t="shared" si="50"/>
        <v>0.26998739023862922</v>
      </c>
      <c r="AB82">
        <f t="shared" si="51"/>
        <v>0.20929890372459062</v>
      </c>
      <c r="AC82" s="14">
        <f t="shared" si="52"/>
        <v>0.16705590772376264</v>
      </c>
    </row>
    <row r="83" spans="16:29" x14ac:dyDescent="0.2">
      <c r="P83" s="172">
        <f t="shared" si="56"/>
        <v>6.6999999999999922</v>
      </c>
      <c r="Q83" s="16">
        <f t="shared" si="53"/>
        <v>6.4199999999999955</v>
      </c>
      <c r="R83" s="180">
        <f t="shared" si="43"/>
        <v>58.748090547745903</v>
      </c>
      <c r="S83" s="180">
        <f t="shared" si="54"/>
        <v>31.251909452254097</v>
      </c>
      <c r="T83" s="180">
        <f t="shared" si="44"/>
        <v>1.8628287209136642</v>
      </c>
      <c r="U83" s="180">
        <f t="shared" si="45"/>
        <v>49.469176630221646</v>
      </c>
      <c r="V83" s="180">
        <f t="shared" si="55"/>
        <v>-130.53082336977835</v>
      </c>
      <c r="W83" s="180">
        <f t="shared" si="46"/>
        <v>1.3819600074643577</v>
      </c>
      <c r="X83">
        <f t="shared" si="47"/>
        <v>0.8040442337022724</v>
      </c>
      <c r="Y83">
        <f t="shared" si="48"/>
        <v>0.52833882659497255</v>
      </c>
      <c r="Z83">
        <f t="shared" si="49"/>
        <v>0.37437409923115339</v>
      </c>
      <c r="AA83">
        <f t="shared" si="50"/>
        <v>0.27940243704660439</v>
      </c>
      <c r="AB83">
        <f t="shared" si="51"/>
        <v>0.2166090024872642</v>
      </c>
      <c r="AC83" s="14">
        <f t="shared" si="52"/>
        <v>0.17289688708180198</v>
      </c>
    </row>
    <row r="84" spans="16:29" x14ac:dyDescent="0.2">
      <c r="P84" s="172">
        <f t="shared" si="56"/>
        <v>6.7999999999999918</v>
      </c>
      <c r="Q84" s="16">
        <f t="shared" si="53"/>
        <v>6.4799999999999951</v>
      </c>
      <c r="R84" s="180">
        <f t="shared" si="43"/>
        <v>57.634873345284426</v>
      </c>
      <c r="S84" s="180">
        <f t="shared" si="54"/>
        <v>32.365126654715574</v>
      </c>
      <c r="T84" s="180">
        <f t="shared" si="44"/>
        <v>1.9628287209136639</v>
      </c>
      <c r="U84" s="180">
        <f t="shared" si="45"/>
        <v>50.598221193400924</v>
      </c>
      <c r="V84" s="180">
        <f t="shared" si="55"/>
        <v>-129.40177880659908</v>
      </c>
      <c r="W84" s="180">
        <f t="shared" si="46"/>
        <v>1.4290894294113776</v>
      </c>
      <c r="X84">
        <f t="shared" si="47"/>
        <v>0.83190281196138116</v>
      </c>
      <c r="Y84">
        <f t="shared" si="48"/>
        <v>0.5467746029407724</v>
      </c>
      <c r="Z84">
        <f t="shared" si="49"/>
        <v>0.38748739384366809</v>
      </c>
      <c r="AA84">
        <f t="shared" si="50"/>
        <v>0.28921174713293368</v>
      </c>
      <c r="AB84">
        <f t="shared" si="51"/>
        <v>0.22422521799710288</v>
      </c>
      <c r="AC84" s="14">
        <f t="shared" si="52"/>
        <v>0.17898246253346339</v>
      </c>
    </row>
    <row r="85" spans="16:29" x14ac:dyDescent="0.2">
      <c r="P85" s="172">
        <f t="shared" si="56"/>
        <v>6.8999999999999915</v>
      </c>
      <c r="Q85" s="16">
        <f t="shared" si="53"/>
        <v>6.5399999999999947</v>
      </c>
      <c r="R85" s="180">
        <f t="shared" si="43"/>
        <v>56.504268631598343</v>
      </c>
      <c r="S85" s="180">
        <f t="shared" si="54"/>
        <v>33.495731368401657</v>
      </c>
      <c r="T85" s="180">
        <f t="shared" si="44"/>
        <v>2.0628287209136635</v>
      </c>
      <c r="U85" s="180">
        <f t="shared" si="45"/>
        <v>51.630831820716566</v>
      </c>
      <c r="V85" s="180">
        <f t="shared" si="55"/>
        <v>-128.36916817928343</v>
      </c>
      <c r="W85" s="180">
        <f t="shared" si="46"/>
        <v>1.47815837166026</v>
      </c>
      <c r="X85">
        <f t="shared" si="47"/>
        <v>0.86090785618341448</v>
      </c>
      <c r="Y85">
        <f t="shared" si="48"/>
        <v>0.56596906804247227</v>
      </c>
      <c r="Z85">
        <f t="shared" si="49"/>
        <v>0.40114034075987259</v>
      </c>
      <c r="AA85">
        <f t="shared" si="50"/>
        <v>0.29942474042337885</v>
      </c>
      <c r="AB85">
        <f t="shared" si="51"/>
        <v>0.23215486414102182</v>
      </c>
      <c r="AC85" s="14">
        <f t="shared" si="52"/>
        <v>0.18531847808494784</v>
      </c>
    </row>
    <row r="86" spans="16:29" x14ac:dyDescent="0.2">
      <c r="P86" s="172">
        <f t="shared" si="56"/>
        <v>6.9999999999999911</v>
      </c>
      <c r="Q86" s="16">
        <f t="shared" si="53"/>
        <v>6.5999999999999943</v>
      </c>
      <c r="R86" s="180">
        <f t="shared" si="43"/>
        <v>55.358115827873121</v>
      </c>
      <c r="S86" s="180">
        <f t="shared" si="54"/>
        <v>34.641884172126879</v>
      </c>
      <c r="T86" s="180">
        <f t="shared" si="44"/>
        <v>2.1628287209136632</v>
      </c>
      <c r="U86" s="180">
        <f t="shared" si="45"/>
        <v>52.574916054116265</v>
      </c>
      <c r="V86" s="180">
        <f t="shared" si="55"/>
        <v>-127.42508394588373</v>
      </c>
      <c r="W86" s="180">
        <f t="shared" si="46"/>
        <v>1.5292281333453075</v>
      </c>
      <c r="X86">
        <f t="shared" si="47"/>
        <v>0.89109560077693561</v>
      </c>
      <c r="Y86">
        <f t="shared" si="48"/>
        <v>0.58594620049101398</v>
      </c>
      <c r="Z86">
        <f t="shared" si="49"/>
        <v>0.41534999585642296</v>
      </c>
      <c r="AA86">
        <f t="shared" si="50"/>
        <v>0.31005417544948038</v>
      </c>
      <c r="AB86">
        <f t="shared" si="51"/>
        <v>0.24040784699039067</v>
      </c>
      <c r="AC86" s="14">
        <f t="shared" si="52"/>
        <v>0.19191284897246036</v>
      </c>
    </row>
    <row r="87" spans="16:29" x14ac:dyDescent="0.2">
      <c r="P87" s="172">
        <f t="shared" si="56"/>
        <v>7.0999999999999908</v>
      </c>
      <c r="Q87" s="16">
        <f t="shared" si="53"/>
        <v>7.0599999999999943</v>
      </c>
      <c r="R87" s="180">
        <f t="shared" si="43"/>
        <v>54.198048882102611</v>
      </c>
      <c r="S87" s="180">
        <f t="shared" si="54"/>
        <v>35.801951117897389</v>
      </c>
      <c r="T87" s="180">
        <f t="shared" si="44"/>
        <v>2.2628287209136628</v>
      </c>
      <c r="U87" s="180">
        <f t="shared" si="45"/>
        <v>53.437673110616203</v>
      </c>
      <c r="V87" s="180">
        <f t="shared" si="55"/>
        <v>-126.5623268893838</v>
      </c>
      <c r="W87" s="180">
        <f t="shared" si="46"/>
        <v>1.5823761787579096</v>
      </c>
      <c r="X87">
        <f t="shared" si="47"/>
        <v>0.92251183550415283</v>
      </c>
      <c r="Y87">
        <f t="shared" si="48"/>
        <v>0.60673630225684094</v>
      </c>
      <c r="Z87">
        <f t="shared" si="49"/>
        <v>0.4301379128047409</v>
      </c>
      <c r="AA87">
        <f t="shared" si="50"/>
        <v>0.3211161752873013</v>
      </c>
      <c r="AB87">
        <f t="shared" si="51"/>
        <v>0.24899668494058042</v>
      </c>
      <c r="AC87" s="14">
        <f t="shared" si="52"/>
        <v>0.19877557775428811</v>
      </c>
    </row>
    <row r="88" spans="16:29" x14ac:dyDescent="0.2">
      <c r="P88" s="172">
        <f t="shared" si="56"/>
        <v>7.1999999999999904</v>
      </c>
      <c r="Q88" s="16">
        <f t="shared" si="53"/>
        <v>7.1199999999999939</v>
      </c>
      <c r="R88" s="180">
        <f t="shared" si="43"/>
        <v>53.025521796194901</v>
      </c>
      <c r="S88" s="180">
        <f t="shared" si="54"/>
        <v>36.974478203805099</v>
      </c>
      <c r="T88" s="180">
        <f t="shared" si="44"/>
        <v>2.3628287209136625</v>
      </c>
      <c r="U88" s="180">
        <f t="shared" si="45"/>
        <v>54.225638176258997</v>
      </c>
      <c r="V88" s="180">
        <f t="shared" si="55"/>
        <v>-125.774361823741</v>
      </c>
      <c r="W88" s="180">
        <f t="shared" si="46"/>
        <v>1.637696509685618</v>
      </c>
      <c r="X88">
        <f t="shared" si="47"/>
        <v>0.95521212557352442</v>
      </c>
      <c r="Y88">
        <f t="shared" si="48"/>
        <v>0.62837614433904054</v>
      </c>
      <c r="Z88">
        <f t="shared" si="49"/>
        <v>0.44553024667067154</v>
      </c>
      <c r="AA88">
        <f t="shared" si="50"/>
        <v>0.33263030505444047</v>
      </c>
      <c r="AB88">
        <f t="shared" si="51"/>
        <v>0.25793656888175531</v>
      </c>
      <c r="AC88" s="14">
        <f t="shared" si="52"/>
        <v>0.20591880238899499</v>
      </c>
    </row>
    <row r="89" spans="16:29" x14ac:dyDescent="0.2">
      <c r="P89" s="172">
        <f t="shared" si="56"/>
        <v>7.2999999999999901</v>
      </c>
      <c r="Q89" s="16">
        <f t="shared" si="53"/>
        <v>7.1799999999999944</v>
      </c>
      <c r="R89" s="180">
        <f t="shared" si="43"/>
        <v>51.841831163681803</v>
      </c>
      <c r="S89" s="180">
        <f t="shared" si="54"/>
        <v>38.158168836318197</v>
      </c>
      <c r="T89" s="180">
        <f t="shared" si="44"/>
        <v>2.4628287209136621</v>
      </c>
      <c r="U89" s="180">
        <f t="shared" si="45"/>
        <v>54.944731483483473</v>
      </c>
      <c r="V89" s="180">
        <f t="shared" si="55"/>
        <v>-125.05526851651652</v>
      </c>
      <c r="W89" s="180">
        <f t="shared" si="46"/>
        <v>1.6953003032015699</v>
      </c>
      <c r="X89">
        <f t="shared" si="47"/>
        <v>0.98926218864218796</v>
      </c>
      <c r="Y89">
        <f t="shared" si="48"/>
        <v>0.65090921625160347</v>
      </c>
      <c r="Z89">
        <f t="shared" si="49"/>
        <v>0.46155793137307016</v>
      </c>
      <c r="AA89">
        <f t="shared" si="50"/>
        <v>0.34461970465671138</v>
      </c>
      <c r="AB89">
        <f t="shared" si="51"/>
        <v>0.26724546526700965</v>
      </c>
      <c r="AC89" s="14">
        <f t="shared" si="52"/>
        <v>0.21335687858983018</v>
      </c>
    </row>
    <row r="90" spans="16:29" x14ac:dyDescent="0.2">
      <c r="P90" s="172">
        <f t="shared" si="56"/>
        <v>7.3999999999999897</v>
      </c>
      <c r="Q90" s="16">
        <f t="shared" si="53"/>
        <v>7.239999999999994</v>
      </c>
      <c r="R90" s="180">
        <f t="shared" si="43"/>
        <v>50.648135954613387</v>
      </c>
      <c r="S90" s="180">
        <f t="shared" si="54"/>
        <v>39.351864045386613</v>
      </c>
      <c r="T90" s="180">
        <f t="shared" si="44"/>
        <v>2.5628287209136618</v>
      </c>
      <c r="U90" s="180">
        <f t="shared" si="45"/>
        <v>55.600308773921178</v>
      </c>
      <c r="V90" s="180">
        <f t="shared" si="55"/>
        <v>-124.39969122607883</v>
      </c>
      <c r="W90" s="180">
        <f t="shared" si="46"/>
        <v>1.7553168354062223</v>
      </c>
      <c r="X90">
        <f t="shared" si="47"/>
        <v>1.0247384408470881</v>
      </c>
      <c r="Y90">
        <f t="shared" si="48"/>
        <v>0.67438608736662098</v>
      </c>
      <c r="Z90">
        <f t="shared" si="49"/>
        <v>0.47825693670578573</v>
      </c>
      <c r="AA90">
        <f t="shared" si="50"/>
        <v>0.35711128105167356</v>
      </c>
      <c r="AB90">
        <f t="shared" si="51"/>
        <v>0.27694426539100964</v>
      </c>
      <c r="AC90" s="14">
        <f t="shared" si="52"/>
        <v>0.22110649910266092</v>
      </c>
    </row>
    <row r="91" spans="16:29" x14ac:dyDescent="0.2">
      <c r="P91" s="172">
        <f t="shared" si="56"/>
        <v>7.4999999999999893</v>
      </c>
      <c r="Q91" s="16">
        <f t="shared" si="53"/>
        <v>7.2999999999999936</v>
      </c>
      <c r="R91" s="180">
        <f t="shared" si="43"/>
        <v>49.445474816164435</v>
      </c>
      <c r="S91" s="180">
        <f t="shared" si="54"/>
        <v>40.554525183835565</v>
      </c>
      <c r="T91" s="180">
        <f t="shared" si="44"/>
        <v>2.6628287209136614</v>
      </c>
      <c r="U91" s="180">
        <f t="shared" si="45"/>
        <v>56.197210931817864</v>
      </c>
      <c r="V91" s="180">
        <f t="shared" si="55"/>
        <v>-123.80278906818214</v>
      </c>
      <c r="W91" s="180">
        <f t="shared" si="46"/>
        <v>1.8178947167133999</v>
      </c>
      <c r="X91">
        <f t="shared" si="47"/>
        <v>1.0617287269924385</v>
      </c>
      <c r="Y91">
        <f t="shared" si="48"/>
        <v>0.69886489012533115</v>
      </c>
      <c r="Z91">
        <f t="shared" si="49"/>
        <v>0.49566861204376178</v>
      </c>
      <c r="AA91">
        <f t="shared" si="50"/>
        <v>0.37013596535562415</v>
      </c>
      <c r="AB91">
        <f t="shared" si="51"/>
        <v>0.2870569850148646</v>
      </c>
      <c r="AC91" s="14">
        <f t="shared" si="52"/>
        <v>0.22918685321199073</v>
      </c>
    </row>
    <row r="92" spans="16:29" x14ac:dyDescent="0.2">
      <c r="P92" s="172">
        <f t="shared" si="56"/>
        <v>7.599999999999989</v>
      </c>
      <c r="Q92" s="16">
        <f t="shared" si="53"/>
        <v>7.3599999999999932</v>
      </c>
      <c r="R92" s="180">
        <f t="shared" si="43"/>
        <v>48.234781162775306</v>
      </c>
      <c r="S92" s="180">
        <f t="shared" si="54"/>
        <v>41.765218837224694</v>
      </c>
      <c r="T92" s="180">
        <f t="shared" si="44"/>
        <v>2.7628287209136611</v>
      </c>
      <c r="U92" s="180">
        <f t="shared" si="45"/>
        <v>56.739811413082236</v>
      </c>
      <c r="V92" s="180">
        <f t="shared" si="55"/>
        <v>-123.26018858691776</v>
      </c>
      <c r="W92" s="180">
        <f t="shared" si="46"/>
        <v>1.8832034714844752</v>
      </c>
      <c r="X92">
        <f t="shared" si="47"/>
        <v>1.1003332542841207</v>
      </c>
      <c r="Y92">
        <f t="shared" si="48"/>
        <v>0.72441193794899672</v>
      </c>
      <c r="Z92">
        <f t="shared" si="49"/>
        <v>0.51384012586059402</v>
      </c>
      <c r="AA92">
        <f t="shared" si="50"/>
        <v>0.38372904162169169</v>
      </c>
      <c r="AB92">
        <f t="shared" si="51"/>
        <v>0.2976110196383927</v>
      </c>
      <c r="AC92" s="14">
        <f t="shared" si="52"/>
        <v>0.2376198307108493</v>
      </c>
    </row>
    <row r="93" spans="16:29" x14ac:dyDescent="0.2">
      <c r="P93" s="172">
        <f t="shared" si="56"/>
        <v>7.6999999999999886</v>
      </c>
      <c r="Q93" s="16">
        <f t="shared" si="53"/>
        <v>7.4199999999999928</v>
      </c>
      <c r="R93" s="180">
        <f t="shared" si="43"/>
        <v>47.016896319162669</v>
      </c>
      <c r="S93" s="180">
        <f t="shared" si="54"/>
        <v>42.983103680837331</v>
      </c>
      <c r="T93" s="180">
        <f t="shared" si="44"/>
        <v>2.8628287209136607</v>
      </c>
      <c r="U93" s="180">
        <f t="shared" si="45"/>
        <v>57.232060679648164</v>
      </c>
      <c r="V93" s="180">
        <f t="shared" si="55"/>
        <v>-122.76793932035184</v>
      </c>
      <c r="W93" s="180">
        <f t="shared" si="46"/>
        <v>1.9514355041829086</v>
      </c>
      <c r="X93">
        <f t="shared" si="47"/>
        <v>1.1406657545393581</v>
      </c>
      <c r="Y93">
        <f t="shared" si="48"/>
        <v>0.75110249434626553</v>
      </c>
      <c r="Z93">
        <f t="shared" si="49"/>
        <v>0.53282501279154582</v>
      </c>
      <c r="AA93">
        <f t="shared" si="50"/>
        <v>0.39793055606657268</v>
      </c>
      <c r="AB93">
        <f t="shared" si="51"/>
        <v>0.30863746223490512</v>
      </c>
      <c r="AC93" s="14">
        <f t="shared" si="52"/>
        <v>0.24643027578003185</v>
      </c>
    </row>
    <row r="94" spans="16:29" x14ac:dyDescent="0.2">
      <c r="P94" s="172">
        <f t="shared" si="56"/>
        <v>7.7999999999999883</v>
      </c>
      <c r="Q94" s="16">
        <f t="shared" si="53"/>
        <v>7.4799999999999933</v>
      </c>
      <c r="R94" s="180">
        <f t="shared" si="43"/>
        <v>45.792580960454174</v>
      </c>
      <c r="S94" s="180">
        <f t="shared" si="54"/>
        <v>44.207419039545826</v>
      </c>
      <c r="T94" s="180">
        <f t="shared" si="44"/>
        <v>2.9628287209136603</v>
      </c>
      <c r="U94" s="180">
        <f t="shared" si="45"/>
        <v>57.677527247556874</v>
      </c>
      <c r="V94" s="180">
        <f t="shared" si="55"/>
        <v>-122.32247275244313</v>
      </c>
      <c r="W94" s="180">
        <f t="shared" si="46"/>
        <v>2.02280850599983</v>
      </c>
      <c r="X94">
        <f t="shared" si="47"/>
        <v>1.1828549067623453</v>
      </c>
      <c r="Y94">
        <f t="shared" si="48"/>
        <v>0.77902171432108902</v>
      </c>
      <c r="Z94">
        <f t="shared" si="49"/>
        <v>0.55268384325326814</v>
      </c>
      <c r="AA94">
        <f t="shared" si="50"/>
        <v>0.41278581797496955</v>
      </c>
      <c r="AB94">
        <f t="shared" si="51"/>
        <v>0.32017149216705354</v>
      </c>
      <c r="AC94" s="14">
        <f t="shared" si="52"/>
        <v>0.25564629774305758</v>
      </c>
    </row>
    <row r="95" spans="16:29" x14ac:dyDescent="0.2">
      <c r="P95" s="172">
        <f t="shared" si="56"/>
        <v>7.8999999999999879</v>
      </c>
      <c r="Q95" s="16">
        <f t="shared" si="53"/>
        <v>7.5399999999999929</v>
      </c>
      <c r="R95" s="180">
        <f t="shared" si="43"/>
        <v>44.56252507065193</v>
      </c>
      <c r="S95" s="180">
        <f t="shared" si="54"/>
        <v>45.43747492934807</v>
      </c>
      <c r="T95" s="180">
        <f t="shared" si="44"/>
        <v>3.06282872091366</v>
      </c>
      <c r="U95" s="180">
        <f t="shared" si="45"/>
        <v>58.079435222490289</v>
      </c>
      <c r="V95" s="180">
        <f t="shared" si="55"/>
        <v>-121.92056477750971</v>
      </c>
      <c r="W95" s="180">
        <f t="shared" si="46"/>
        <v>2.0975683705640695</v>
      </c>
      <c r="X95">
        <f t="shared" si="47"/>
        <v>1.2270460606437674</v>
      </c>
      <c r="Y95">
        <f t="shared" si="48"/>
        <v>0.80826578492093537</v>
      </c>
      <c r="Z95">
        <f t="shared" si="49"/>
        <v>0.57348503471122014</v>
      </c>
      <c r="AA95">
        <f t="shared" si="50"/>
        <v>0.42834600656262056</v>
      </c>
      <c r="AB95">
        <f t="shared" si="51"/>
        <v>0.33225284637181485</v>
      </c>
      <c r="AC95" s="14">
        <f t="shared" si="52"/>
        <v>0.26529964755653718</v>
      </c>
    </row>
    <row r="96" spans="16:29" x14ac:dyDescent="0.2">
      <c r="P96" s="172">
        <f t="shared" si="56"/>
        <v>7.9999999999999876</v>
      </c>
      <c r="Q96" s="16">
        <f t="shared" si="53"/>
        <v>7.5999999999999925</v>
      </c>
      <c r="R96" s="180">
        <f t="shared" si="43"/>
        <v>43.327356616489155</v>
      </c>
      <c r="S96" s="180">
        <f t="shared" si="54"/>
        <v>46.672643383510845</v>
      </c>
      <c r="T96" s="180">
        <f t="shared" si="44"/>
        <v>3.1628287209136596</v>
      </c>
      <c r="U96" s="180">
        <f t="shared" si="45"/>
        <v>58.440698367507487</v>
      </c>
      <c r="V96" s="180">
        <f t="shared" si="55"/>
        <v>-121.55930163249252</v>
      </c>
      <c r="W96" s="180">
        <f t="shared" si="46"/>
        <v>2.1759927056167445</v>
      </c>
      <c r="X96">
        <f t="shared" si="47"/>
        <v>1.2734033123397361</v>
      </c>
      <c r="Y96">
        <f t="shared" si="48"/>
        <v>0.83894329891048702</v>
      </c>
      <c r="Z96">
        <f t="shared" si="49"/>
        <v>0.5953058287683245</v>
      </c>
      <c r="AA96">
        <f t="shared" si="50"/>
        <v>0.44466890188076524</v>
      </c>
      <c r="AB96">
        <f t="shared" si="51"/>
        <v>0.3449263868546244</v>
      </c>
      <c r="AC96" s="14">
        <f t="shared" si="52"/>
        <v>0.27542617125432267</v>
      </c>
    </row>
    <row r="97" spans="16:29" x14ac:dyDescent="0.2">
      <c r="P97" s="172">
        <f t="shared" si="56"/>
        <v>8.0999999999999872</v>
      </c>
      <c r="Q97" s="16">
        <f t="shared" si="53"/>
        <v>8.0599999999999916</v>
      </c>
      <c r="R97" s="180">
        <f t="shared" si="43"/>
        <v>42.087649110218059</v>
      </c>
      <c r="S97" s="180">
        <f t="shared" si="54"/>
        <v>47.912350889781941</v>
      </c>
      <c r="T97" s="180">
        <f t="shared" si="44"/>
        <v>3.2628287209136593</v>
      </c>
      <c r="U97" s="180">
        <f t="shared" si="45"/>
        <v>58.763950853033919</v>
      </c>
      <c r="V97" s="180">
        <f t="shared" si="55"/>
        <v>-121.23604914696608</v>
      </c>
      <c r="W97" s="180">
        <f t="shared" si="46"/>
        <v>2.258395050417441</v>
      </c>
      <c r="X97">
        <f t="shared" si="47"/>
        <v>1.3221119974143134</v>
      </c>
      <c r="Y97">
        <f t="shared" si="48"/>
        <v>0.87117690450876595</v>
      </c>
      <c r="Z97">
        <f t="shared" si="49"/>
        <v>0.61823346461644202</v>
      </c>
      <c r="AA97">
        <f t="shared" si="50"/>
        <v>0.4618197626084718</v>
      </c>
      <c r="AB97">
        <f t="shared" si="51"/>
        <v>0.35824278223124578</v>
      </c>
      <c r="AC97" s="14">
        <f t="shared" si="52"/>
        <v>0.28606635451908191</v>
      </c>
    </row>
    <row r="98" spans="16:29" x14ac:dyDescent="0.2">
      <c r="P98" s="172">
        <f t="shared" si="56"/>
        <v>8.1999999999999869</v>
      </c>
      <c r="Q98" s="16">
        <f t="shared" si="53"/>
        <v>8.1199999999999921</v>
      </c>
      <c r="R98" s="180">
        <f t="shared" si="43"/>
        <v>40.843928212900025</v>
      </c>
      <c r="S98" s="180">
        <f t="shared" si="54"/>
        <v>49.156071787099975</v>
      </c>
      <c r="T98" s="180">
        <f t="shared" si="44"/>
        <v>3.3628287209136589</v>
      </c>
      <c r="U98" s="180">
        <f t="shared" si="45"/>
        <v>59.051574899340558</v>
      </c>
      <c r="V98" s="180">
        <f t="shared" si="55"/>
        <v>-120.94842510065945</v>
      </c>
      <c r="W98" s="180">
        <f t="shared" si="46"/>
        <v>2.3451299375526387</v>
      </c>
      <c r="X98">
        <f t="shared" si="47"/>
        <v>1.3733816829149577</v>
      </c>
      <c r="Y98">
        <f t="shared" si="48"/>
        <v>0.90510528543396007</v>
      </c>
      <c r="Z98">
        <f t="shared" si="49"/>
        <v>0.64236658743440567</v>
      </c>
      <c r="AA98">
        <f t="shared" si="50"/>
        <v>0.4798723795951253</v>
      </c>
      <c r="AB98">
        <f t="shared" si="51"/>
        <v>0.37225932572685244</v>
      </c>
      <c r="AC98" s="14">
        <f t="shared" si="52"/>
        <v>0.29726597628711338</v>
      </c>
    </row>
    <row r="99" spans="16:29" x14ac:dyDescent="0.2">
      <c r="P99" s="172">
        <f t="shared" si="56"/>
        <v>8.2999999999999865</v>
      </c>
      <c r="Q99" s="16">
        <f t="shared" si="53"/>
        <v>8.1799999999999926</v>
      </c>
      <c r="R99" s="180">
        <f t="shared" si="43"/>
        <v>39.596677509813908</v>
      </c>
      <c r="S99" s="180">
        <f t="shared" si="54"/>
        <v>50.403322490186092</v>
      </c>
      <c r="T99" s="180">
        <f t="shared" si="44"/>
        <v>3.4628287209136586</v>
      </c>
      <c r="U99" s="180">
        <f t="shared" si="45"/>
        <v>59.305725551521228</v>
      </c>
      <c r="V99" s="180">
        <f t="shared" si="55"/>
        <v>-120.69427444847878</v>
      </c>
      <c r="W99" s="180">
        <f t="shared" si="46"/>
        <v>2.4365989746410617</v>
      </c>
      <c r="X99">
        <f t="shared" si="47"/>
        <v>1.4274497623171978</v>
      </c>
      <c r="Y99">
        <f t="shared" si="48"/>
        <v>0.94088553990479717</v>
      </c>
      <c r="Z99">
        <f t="shared" si="49"/>
        <v>0.6678169405622647</v>
      </c>
      <c r="AA99">
        <f t="shared" si="50"/>
        <v>0.49891034167976389</v>
      </c>
      <c r="AB99">
        <f t="shared" si="51"/>
        <v>0.38704091799263463</v>
      </c>
      <c r="AC99" s="14">
        <f t="shared" si="52"/>
        <v>0.30907689404710958</v>
      </c>
    </row>
    <row r="100" spans="16:29" x14ac:dyDescent="0.2">
      <c r="P100" s="172">
        <f t="shared" si="56"/>
        <v>8.3999999999999861</v>
      </c>
      <c r="Q100" s="16">
        <f t="shared" si="53"/>
        <v>8.2399999999999913</v>
      </c>
      <c r="R100" s="180">
        <f t="shared" si="43"/>
        <v>38.346343571809307</v>
      </c>
      <c r="S100" s="180">
        <f t="shared" si="54"/>
        <v>51.653656428190693</v>
      </c>
      <c r="T100" s="180">
        <f t="shared" si="44"/>
        <v>3.5628287209136582</v>
      </c>
      <c r="U100" s="180">
        <f t="shared" si="45"/>
        <v>59.528352836691582</v>
      </c>
      <c r="V100" s="180">
        <f t="shared" si="55"/>
        <v>-120.47164716330842</v>
      </c>
      <c r="W100" s="180">
        <f t="shared" si="46"/>
        <v>2.5332581687727118</v>
      </c>
      <c r="X100">
        <f t="shared" si="47"/>
        <v>1.484585785059128</v>
      </c>
      <c r="Y100">
        <f t="shared" si="48"/>
        <v>0.97869604576628522</v>
      </c>
      <c r="Z100">
        <f t="shared" si="49"/>
        <v>0.69471140345386251</v>
      </c>
      <c r="AA100">
        <f t="shared" si="50"/>
        <v>0.51902856016752552</v>
      </c>
      <c r="AB100">
        <f t="shared" si="51"/>
        <v>0.40266125075083281</v>
      </c>
      <c r="AC100" s="14">
        <f t="shared" si="52"/>
        <v>0.32155798960661364</v>
      </c>
    </row>
    <row r="101" spans="16:29" x14ac:dyDescent="0.2">
      <c r="P101" s="172">
        <f t="shared" si="56"/>
        <v>8.4999999999999858</v>
      </c>
      <c r="Q101" s="16">
        <f t="shared" si="53"/>
        <v>8.2999999999999918</v>
      </c>
      <c r="R101" s="180">
        <f t="shared" ref="R101:R132" si="57">180/PI()*ASIN(SIN(RADIANS($B$22))*SIN(RADIANS($B$24)) + COS(RADIANS($B$22))*COS(RADIANS($B$24))*COS(RADIANS(15*(P101+$B$25-$B$23))))</f>
        <v>37.093340400779134</v>
      </c>
      <c r="S101" s="180">
        <f t="shared" si="54"/>
        <v>52.906659599220866</v>
      </c>
      <c r="T101" s="180">
        <f t="shared" ref="T101:T132" si="58">$B$25 + P101 - $B$23</f>
        <v>3.6628287209136579</v>
      </c>
      <c r="U101" s="180">
        <f t="shared" ref="U101:U132" si="59">180/PI()*ATAN2(TAN(RADIANS($B$22))*COS(RADIANS($B$24)) - SIN(RADIANS($B$24))*COS(RADIANS(15*T101)),SIN(RADIANS(15*T101)))</f>
        <v>59.721221550022996</v>
      </c>
      <c r="V101" s="180">
        <f t="shared" si="55"/>
        <v>-120.27877844997701</v>
      </c>
      <c r="W101" s="180">
        <f t="shared" ref="W101:W132" si="60">$B$20*TAN(RADIANS(S101))*6085*(1/(146 - $W$4^-2) - 1/(146-$B$9^-2)) + 52.6*(1/(41 - $W$4^-2) - 1/(41 - $B$9^-2))</f>
        <v>2.6356267779433997</v>
      </c>
      <c r="X101">
        <f t="shared" ref="X101:X132" si="61">$B$20*TAN(RADIANS(S101))*6085*(1/(146 - $X$4^-2) - 1/(146-$B$9^-2)) + 52.6*(1/(41 - $X$4^-2) - 1/(41 - $B$9^-2))</f>
        <v>1.5450966886951538</v>
      </c>
      <c r="Y101">
        <f t="shared" ref="Y101:Y132" si="62">$B$20*TAN(RADIANS(S101))*6085*(1/(146 - $Y$4^-2) - 1/(146-$B$9^-2)) + 52.6*(1/(41 - $Y$4^-2) - 1/(41 - $B$9^-2))</f>
        <v>1.0187399229354752</v>
      </c>
      <c r="Z101">
        <f t="shared" ref="Z101:Z132" si="63">$B$20*TAN(RADIANS(S101))*6085*(1/(146 - $Z$4^-2) - 1/(146-$B$9^-2)) + 52.6*(1/(41 - $Z$4^-2) - 1/(41 - $B$9^-2))</f>
        <v>0.72319445450077835</v>
      </c>
      <c r="AA101">
        <f t="shared" ref="AA101:AA132" si="64">$B$20*TAN(RADIANS(S101))*6085*(1/(146 - $AA$4^-2) - 1/(146-$B$9^-2)) + 52.6*(1/(41 - $AA$4^-2) - 1/(41 - $B$9^-2))</f>
        <v>0.54033511112820476</v>
      </c>
      <c r="AB101">
        <f t="shared" ref="AB101:AB132" si="65">$B$20*TAN(RADIANS(S101))*6085*(1/(146 - $AB$4^-2) - 1/(146-$B$9^-2)) + 52.6*(1/(41 - $AB$4^-2) - 1/(41 - $B$9^-2))</f>
        <v>0.41920423720551186</v>
      </c>
      <c r="AC101" s="14">
        <f t="shared" ref="AC101:AC132" si="66">$B$20*TAN(RADIANS(S101))*6085*(1/(146 - $AC$4^-2) - 1/(146-$B$9^-2)) + 52.6*(1/(41 - $AC$4^-2) - 1/(41 - $B$9^-2))</f>
        <v>0.33477631203140734</v>
      </c>
    </row>
    <row r="102" spans="16:29" x14ac:dyDescent="0.2">
      <c r="P102" s="172">
        <f t="shared" si="56"/>
        <v>8.5999999999999854</v>
      </c>
      <c r="Q102" s="16">
        <f t="shared" si="53"/>
        <v>8.3599999999999905</v>
      </c>
      <c r="R102" s="180">
        <f t="shared" si="57"/>
        <v>35.838053343784694</v>
      </c>
      <c r="S102" s="180">
        <f t="shared" si="54"/>
        <v>54.161946656215306</v>
      </c>
      <c r="T102" s="180">
        <f t="shared" si="58"/>
        <v>3.7628287209136575</v>
      </c>
      <c r="U102" s="180">
        <f t="shared" si="59"/>
        <v>59.885928905272294</v>
      </c>
      <c r="V102" s="180">
        <f t="shared" si="55"/>
        <v>-120.11407109472771</v>
      </c>
      <c r="W102" s="180">
        <f t="shared" si="60"/>
        <v>2.7442980541854616</v>
      </c>
      <c r="X102">
        <f t="shared" si="61"/>
        <v>1.6093331492464833</v>
      </c>
      <c r="Y102">
        <f t="shared" si="62"/>
        <v>1.061249235828458</v>
      </c>
      <c r="Z102">
        <f t="shared" si="63"/>
        <v>0.75343116020198719</v>
      </c>
      <c r="AA102">
        <f t="shared" si="64"/>
        <v>0.56295347142411212</v>
      </c>
      <c r="AB102">
        <f t="shared" si="65"/>
        <v>0.43676574815549057</v>
      </c>
      <c r="AC102" s="14">
        <f t="shared" si="66"/>
        <v>0.34880846484972183</v>
      </c>
    </row>
    <row r="103" spans="16:29" x14ac:dyDescent="0.2">
      <c r="P103" s="172">
        <f t="shared" si="56"/>
        <v>8.6999999999999851</v>
      </c>
      <c r="Q103" s="16">
        <f t="shared" si="53"/>
        <v>8.419999999999991</v>
      </c>
      <c r="R103" s="180">
        <f t="shared" si="57"/>
        <v>34.58084254855541</v>
      </c>
      <c r="S103" s="180">
        <f t="shared" si="54"/>
        <v>55.41915745144459</v>
      </c>
      <c r="T103" s="180">
        <f t="shared" si="58"/>
        <v>3.8628287209136571</v>
      </c>
      <c r="U103" s="180">
        <f t="shared" si="59"/>
        <v>60.023920270070441</v>
      </c>
      <c r="V103" s="180">
        <f t="shared" si="55"/>
        <v>-119.97607972992955</v>
      </c>
      <c r="W103" s="180">
        <f t="shared" si="60"/>
        <v>2.8599523494343773</v>
      </c>
      <c r="X103">
        <f t="shared" si="61"/>
        <v>1.6776973281837069</v>
      </c>
      <c r="Y103">
        <f t="shared" si="62"/>
        <v>1.1064901200268036</v>
      </c>
      <c r="Z103">
        <f t="shared" si="63"/>
        <v>0.78561082174136843</v>
      </c>
      <c r="AA103">
        <f t="shared" si="64"/>
        <v>0.58702524650736732</v>
      </c>
      <c r="AB103">
        <f t="shared" si="65"/>
        <v>0.45545572993045158</v>
      </c>
      <c r="AC103" s="14">
        <f t="shared" si="66"/>
        <v>0.36374229834416183</v>
      </c>
    </row>
    <row r="104" spans="16:29" x14ac:dyDescent="0.2">
      <c r="P104" s="172">
        <f t="shared" si="56"/>
        <v>8.7999999999999847</v>
      </c>
      <c r="Q104" s="16">
        <f t="shared" si="53"/>
        <v>8.4799999999999915</v>
      </c>
      <c r="R104" s="180">
        <f t="shared" si="57"/>
        <v>33.322046022911714</v>
      </c>
      <c r="S104" s="180">
        <f t="shared" si="54"/>
        <v>56.677953977088286</v>
      </c>
      <c r="T104" s="180">
        <f t="shared" si="58"/>
        <v>3.9628287209136568</v>
      </c>
      <c r="U104" s="180">
        <f t="shared" si="59"/>
        <v>60.136503188658963</v>
      </c>
      <c r="V104" s="180">
        <f t="shared" si="55"/>
        <v>-119.86349681134104</v>
      </c>
      <c r="W104" s="180">
        <f t="shared" si="60"/>
        <v>2.9833731971267428</v>
      </c>
      <c r="X104">
        <f t="shared" si="61"/>
        <v>1.7506523783879822</v>
      </c>
      <c r="Y104">
        <f t="shared" si="62"/>
        <v>1.1547690729709601</v>
      </c>
      <c r="Z104">
        <f t="shared" si="63"/>
        <v>0.81995144953297749</v>
      </c>
      <c r="AA104">
        <f t="shared" si="64"/>
        <v>0.61271351757279657</v>
      </c>
      <c r="AB104">
        <f t="shared" si="65"/>
        <v>0.47540080321161182</v>
      </c>
      <c r="AC104" s="14">
        <f t="shared" si="66"/>
        <v>0.379678986084237</v>
      </c>
    </row>
    <row r="105" spans="16:29" x14ac:dyDescent="0.2">
      <c r="P105" s="172">
        <f t="shared" si="56"/>
        <v>8.8999999999999844</v>
      </c>
      <c r="Q105" s="16">
        <f t="shared" si="53"/>
        <v>8.5399999999999903</v>
      </c>
      <c r="R105" s="180">
        <f t="shared" si="57"/>
        <v>32.061982351924009</v>
      </c>
      <c r="S105" s="180">
        <f t="shared" si="54"/>
        <v>57.938017648075991</v>
      </c>
      <c r="T105" s="180">
        <f t="shared" si="58"/>
        <v>4.0628287209136564</v>
      </c>
      <c r="U105" s="180">
        <f t="shared" si="59"/>
        <v>60.224859876503722</v>
      </c>
      <c r="V105" s="180">
        <f t="shared" si="55"/>
        <v>-119.77514012349627</v>
      </c>
      <c r="W105" s="180">
        <f t="shared" si="60"/>
        <v>3.1154671739647788</v>
      </c>
      <c r="X105">
        <f t="shared" si="61"/>
        <v>1.8287341845988903</v>
      </c>
      <c r="Y105">
        <f t="shared" si="62"/>
        <v>1.2064407233542569</v>
      </c>
      <c r="Z105">
        <f t="shared" si="63"/>
        <v>0.85670528956019198</v>
      </c>
      <c r="AA105">
        <f t="shared" si="64"/>
        <v>0.6402069754980243</v>
      </c>
      <c r="AB105">
        <f t="shared" si="65"/>
        <v>0.49674747273539821</v>
      </c>
      <c r="AC105" s="14">
        <f t="shared" si="66"/>
        <v>0.39673558957200195</v>
      </c>
    </row>
    <row r="106" spans="16:29" x14ac:dyDescent="0.2">
      <c r="P106" s="172">
        <f t="shared" si="56"/>
        <v>8.999999999999984</v>
      </c>
      <c r="Q106" s="16">
        <f t="shared" si="53"/>
        <v>8.5999999999999908</v>
      </c>
      <c r="R106" s="180">
        <f t="shared" si="57"/>
        <v>30.800953119140367</v>
      </c>
      <c r="S106" s="180">
        <f t="shared" si="54"/>
        <v>59.199046880859633</v>
      </c>
      <c r="T106" s="180">
        <f t="shared" si="58"/>
        <v>4.1628287209136561</v>
      </c>
      <c r="U106" s="180">
        <f t="shared" si="59"/>
        <v>60.290058353215805</v>
      </c>
      <c r="V106" s="180">
        <f t="shared" si="55"/>
        <v>-119.70994164678419</v>
      </c>
      <c r="W106" s="180">
        <f t="shared" si="60"/>
        <v>3.2572886072363834</v>
      </c>
      <c r="X106">
        <f t="shared" si="61"/>
        <v>1.9125659681089313</v>
      </c>
      <c r="Y106">
        <f t="shared" si="62"/>
        <v>1.2619174959693598</v>
      </c>
      <c r="Z106">
        <f t="shared" si="63"/>
        <v>0.89616569794267253</v>
      </c>
      <c r="AA106">
        <f t="shared" si="64"/>
        <v>0.66972506331613302</v>
      </c>
      <c r="AB106">
        <f t="shared" si="65"/>
        <v>0.51966612004927737</v>
      </c>
      <c r="AC106" s="14">
        <f t="shared" si="66"/>
        <v>0.41504824856890876</v>
      </c>
    </row>
    <row r="107" spans="16:29" x14ac:dyDescent="0.2">
      <c r="P107" s="172">
        <f t="shared" si="56"/>
        <v>9.0999999999999837</v>
      </c>
      <c r="Q107" s="16">
        <f t="shared" si="53"/>
        <v>9.0599999999999898</v>
      </c>
      <c r="R107" s="180">
        <f t="shared" si="57"/>
        <v>29.539245071817763</v>
      </c>
      <c r="S107" s="180">
        <f t="shared" si="54"/>
        <v>60.46075492818224</v>
      </c>
      <c r="T107" s="180">
        <f t="shared" si="58"/>
        <v>4.2628287209136557</v>
      </c>
      <c r="U107" s="180">
        <f t="shared" si="59"/>
        <v>60.33306236304557</v>
      </c>
      <c r="V107" s="180">
        <f t="shared" si="55"/>
        <v>-119.66693763695443</v>
      </c>
      <c r="W107" s="180">
        <f t="shared" si="60"/>
        <v>3.4100705528579121</v>
      </c>
      <c r="X107">
        <f t="shared" si="61"/>
        <v>2.0028765981323788</v>
      </c>
      <c r="Y107">
        <f t="shared" si="62"/>
        <v>1.3216817294946714</v>
      </c>
      <c r="Z107">
        <f t="shared" si="63"/>
        <v>0.93867576026977884</v>
      </c>
      <c r="AA107">
        <f t="shared" si="64"/>
        <v>0.7015244238489019</v>
      </c>
      <c r="AB107">
        <f t="shared" si="65"/>
        <v>0.5443560096298049</v>
      </c>
      <c r="AC107" s="14">
        <f t="shared" si="66"/>
        <v>0.43477618112824779</v>
      </c>
    </row>
    <row r="108" spans="16:29" x14ac:dyDescent="0.2">
      <c r="P108" s="172">
        <f t="shared" si="56"/>
        <v>9.1999999999999833</v>
      </c>
      <c r="Q108" s="16">
        <f t="shared" si="53"/>
        <v>9.1199999999999903</v>
      </c>
      <c r="R108" s="180">
        <f t="shared" si="57"/>
        <v>28.277132064628017</v>
      </c>
      <c r="S108" s="180">
        <f t="shared" si="54"/>
        <v>61.72286793537198</v>
      </c>
      <c r="T108" s="180">
        <f t="shared" si="58"/>
        <v>4.3628287209136554</v>
      </c>
      <c r="U108" s="180">
        <f t="shared" si="59"/>
        <v>60.354740216208675</v>
      </c>
      <c r="V108" s="180">
        <f t="shared" si="55"/>
        <v>-119.64525978379132</v>
      </c>
      <c r="W108" s="180">
        <f t="shared" si="60"/>
        <v>3.5752639713963181</v>
      </c>
      <c r="X108">
        <f t="shared" si="61"/>
        <v>2.1005237490652982</v>
      </c>
      <c r="Y108">
        <f t="shared" si="62"/>
        <v>1.3863010011122117</v>
      </c>
      <c r="Z108">
        <f t="shared" si="63"/>
        <v>0.98463919194050276</v>
      </c>
      <c r="AA108">
        <f t="shared" si="64"/>
        <v>0.73590705363132536</v>
      </c>
      <c r="AB108">
        <f t="shared" si="65"/>
        <v>0.57105161981169528</v>
      </c>
      <c r="AC108" s="14">
        <f t="shared" si="66"/>
        <v>0.4561067421897318</v>
      </c>
    </row>
    <row r="109" spans="16:29" x14ac:dyDescent="0.2">
      <c r="P109" s="172">
        <f t="shared" si="56"/>
        <v>9.2999999999999829</v>
      </c>
      <c r="Q109" s="16">
        <f t="shared" si="53"/>
        <v>9.1799999999999891</v>
      </c>
      <c r="R109" s="180">
        <f t="shared" si="57"/>
        <v>27.014876811643674</v>
      </c>
      <c r="S109" s="180">
        <f t="shared" si="54"/>
        <v>62.985123188356326</v>
      </c>
      <c r="T109" s="180">
        <f t="shared" si="58"/>
        <v>4.462828720913655</v>
      </c>
      <c r="U109" s="180">
        <f t="shared" si="59"/>
        <v>60.355872669610811</v>
      </c>
      <c r="V109" s="180">
        <f t="shared" si="55"/>
        <v>-119.64412733038918</v>
      </c>
      <c r="W109" s="180">
        <f t="shared" si="60"/>
        <v>3.7545877392213178</v>
      </c>
      <c r="X109">
        <f t="shared" si="61"/>
        <v>2.206523462477588</v>
      </c>
      <c r="Y109">
        <f t="shared" si="62"/>
        <v>1.4564476895401792</v>
      </c>
      <c r="Z109">
        <f t="shared" si="63"/>
        <v>1.0345342532709569</v>
      </c>
      <c r="AA109">
        <f t="shared" si="64"/>
        <v>0.77323071201232052</v>
      </c>
      <c r="AB109">
        <f t="shared" si="65"/>
        <v>0.60003072469710617</v>
      </c>
      <c r="AC109" s="14">
        <f t="shared" si="66"/>
        <v>0.47926188125767988</v>
      </c>
    </row>
    <row r="110" spans="16:29" x14ac:dyDescent="0.2">
      <c r="P110" s="172">
        <f t="shared" si="56"/>
        <v>9.3999999999999826</v>
      </c>
      <c r="Q110" s="16">
        <f t="shared" si="53"/>
        <v>9.2399999999999896</v>
      </c>
      <c r="R110" s="180">
        <f t="shared" si="57"/>
        <v>25.752732472426441</v>
      </c>
      <c r="S110" s="180">
        <f t="shared" si="54"/>
        <v>64.247267527573555</v>
      </c>
      <c r="T110" s="180">
        <f t="shared" si="58"/>
        <v>4.5628287209136547</v>
      </c>
      <c r="U110" s="180">
        <f t="shared" si="59"/>
        <v>60.337159952203201</v>
      </c>
      <c r="V110" s="180">
        <f t="shared" si="55"/>
        <v>-119.66284004779681</v>
      </c>
      <c r="W110" s="180">
        <f t="shared" si="60"/>
        <v>3.9500931498698435</v>
      </c>
      <c r="X110">
        <f t="shared" si="61"/>
        <v>2.3220882743853974</v>
      </c>
      <c r="Y110">
        <f t="shared" si="62"/>
        <v>1.5329242062511563</v>
      </c>
      <c r="Z110">
        <f t="shared" si="63"/>
        <v>1.0889316963598361</v>
      </c>
      <c r="AA110">
        <f t="shared" si="64"/>
        <v>0.81392234618433279</v>
      </c>
      <c r="AB110">
        <f t="shared" si="65"/>
        <v>0.63162481771425671</v>
      </c>
      <c r="AC110" s="14">
        <f t="shared" si="66"/>
        <v>0.50450647112443259</v>
      </c>
    </row>
    <row r="111" spans="16:29" x14ac:dyDescent="0.2">
      <c r="P111" s="172">
        <f t="shared" si="56"/>
        <v>9.4999999999999822</v>
      </c>
      <c r="Q111" s="16">
        <f t="shared" si="53"/>
        <v>9.2999999999999901</v>
      </c>
      <c r="R111" s="180">
        <f t="shared" si="57"/>
        <v>24.490944094640735</v>
      </c>
      <c r="S111" s="180">
        <f t="shared" si="54"/>
        <v>65.509055905359261</v>
      </c>
      <c r="T111" s="180">
        <f t="shared" si="58"/>
        <v>4.6628287209136543</v>
      </c>
      <c r="U111" s="180">
        <f t="shared" si="59"/>
        <v>60.2992280282037</v>
      </c>
      <c r="V111" s="180">
        <f t="shared" si="55"/>
        <v>-119.7007719717963</v>
      </c>
      <c r="W111" s="180">
        <f t="shared" si="60"/>
        <v>4.1642480427729849</v>
      </c>
      <c r="X111">
        <f t="shared" si="61"/>
        <v>2.4486769444144909</v>
      </c>
      <c r="Y111">
        <f t="shared" si="62"/>
        <v>1.616695904392484</v>
      </c>
      <c r="Z111">
        <f t="shared" si="63"/>
        <v>1.1485181730729885</v>
      </c>
      <c r="AA111">
        <f t="shared" si="64"/>
        <v>0.8584956013656303</v>
      </c>
      <c r="AB111">
        <f t="shared" si="65"/>
        <v>0.66623270699985571</v>
      </c>
      <c r="AC111" s="14">
        <f t="shared" si="66"/>
        <v>0.53215917097230203</v>
      </c>
    </row>
    <row r="112" spans="16:29" x14ac:dyDescent="0.2">
      <c r="P112" s="172">
        <f t="shared" si="56"/>
        <v>9.5999999999999819</v>
      </c>
      <c r="Q112" s="16">
        <f t="shared" si="53"/>
        <v>9.3599999999999888</v>
      </c>
      <c r="R112" s="180">
        <f t="shared" si="57"/>
        <v>23.229749932710931</v>
      </c>
      <c r="S112" s="180">
        <f t="shared" si="54"/>
        <v>66.770250067289069</v>
      </c>
      <c r="T112" s="180">
        <f t="shared" si="58"/>
        <v>4.7628287209136539</v>
      </c>
      <c r="U112" s="180">
        <f t="shared" si="59"/>
        <v>60.24263418069264</v>
      </c>
      <c r="V112" s="180">
        <f t="shared" si="55"/>
        <v>-119.75736581930735</v>
      </c>
      <c r="W112" s="180">
        <f t="shared" si="60"/>
        <v>4.4000478904450571</v>
      </c>
      <c r="X112">
        <f t="shared" si="61"/>
        <v>2.5880601203261935</v>
      </c>
      <c r="Y112">
        <f t="shared" si="62"/>
        <v>1.708934533139995</v>
      </c>
      <c r="Z112">
        <f t="shared" si="63"/>
        <v>1.2141271439529187</v>
      </c>
      <c r="AA112">
        <f t="shared" si="64"/>
        <v>0.90757394199804342</v>
      </c>
      <c r="AB112">
        <f t="shared" si="65"/>
        <v>0.70433846732673766</v>
      </c>
      <c r="AC112" s="14">
        <f t="shared" si="66"/>
        <v>0.56260677048056207</v>
      </c>
    </row>
    <row r="113" spans="16:29" x14ac:dyDescent="0.2">
      <c r="P113" s="172">
        <f t="shared" si="56"/>
        <v>9.6999999999999815</v>
      </c>
      <c r="Q113" s="16">
        <f t="shared" si="53"/>
        <v>9.4199999999999893</v>
      </c>
      <c r="R113" s="180">
        <f t="shared" si="57"/>
        <v>21.9693826595601</v>
      </c>
      <c r="S113" s="180">
        <f t="shared" si="54"/>
        <v>68.030617340439903</v>
      </c>
      <c r="T113" s="180">
        <f t="shared" si="58"/>
        <v>4.8628287209136536</v>
      </c>
      <c r="U113" s="180">
        <f t="shared" si="59"/>
        <v>60.16787198855048</v>
      </c>
      <c r="V113" s="180">
        <f t="shared" si="55"/>
        <v>-119.83212801144953</v>
      </c>
      <c r="W113" s="180">
        <f t="shared" si="60"/>
        <v>4.6611644824679415</v>
      </c>
      <c r="X113">
        <f t="shared" si="61"/>
        <v>2.7424082263097267</v>
      </c>
      <c r="Y113">
        <f t="shared" si="62"/>
        <v>1.811076398918082</v>
      </c>
      <c r="Z113">
        <f t="shared" si="63"/>
        <v>1.2867802480639994</v>
      </c>
      <c r="AA113">
        <f t="shared" si="64"/>
        <v>0.96192159817590528</v>
      </c>
      <c r="AB113">
        <f t="shared" si="65"/>
        <v>0.74653546775412472</v>
      </c>
      <c r="AC113" s="14">
        <f t="shared" si="66"/>
        <v>0.59632338860972689</v>
      </c>
    </row>
    <row r="114" spans="16:29" x14ac:dyDescent="0.2">
      <c r="P114" s="172">
        <f t="shared" si="56"/>
        <v>9.7999999999999812</v>
      </c>
      <c r="Q114" s="16">
        <f t="shared" si="53"/>
        <v>9.479999999999988</v>
      </c>
      <c r="R114" s="180">
        <f t="shared" si="57"/>
        <v>20.710070486347725</v>
      </c>
      <c r="S114" s="180">
        <f t="shared" si="54"/>
        <v>69.289929513652282</v>
      </c>
      <c r="T114" s="180">
        <f t="shared" si="58"/>
        <v>4.9628287209136532</v>
      </c>
      <c r="U114" s="180">
        <f t="shared" si="59"/>
        <v>60.07537576124917</v>
      </c>
      <c r="V114" s="180">
        <f t="shared" si="55"/>
        <v>-119.92462423875082</v>
      </c>
      <c r="W114" s="180">
        <f t="shared" si="60"/>
        <v>4.9521479303596054</v>
      </c>
      <c r="X114">
        <f t="shared" si="61"/>
        <v>2.9144108696756459</v>
      </c>
      <c r="Y114">
        <f t="shared" si="62"/>
        <v>1.9249013843314584</v>
      </c>
      <c r="Z114">
        <f t="shared" si="63"/>
        <v>1.3677435088453038</v>
      </c>
      <c r="AA114">
        <f t="shared" si="64"/>
        <v>1.0224856100487281</v>
      </c>
      <c r="AB114">
        <f t="shared" si="65"/>
        <v>0.79355901604695411</v>
      </c>
      <c r="AC114" s="14">
        <f t="shared" si="66"/>
        <v>0.63389655743237738</v>
      </c>
    </row>
    <row r="115" spans="16:29" x14ac:dyDescent="0.2">
      <c r="P115" s="172">
        <f t="shared" si="56"/>
        <v>9.8999999999999808</v>
      </c>
      <c r="Q115" s="16">
        <f t="shared" si="53"/>
        <v>9.5399999999999885</v>
      </c>
      <c r="R115" s="180">
        <f t="shared" si="57"/>
        <v>19.452038203309179</v>
      </c>
      <c r="S115" s="180">
        <f t="shared" si="54"/>
        <v>70.547961796690828</v>
      </c>
      <c r="T115" s="180">
        <f t="shared" si="58"/>
        <v>5.0628287209136529</v>
      </c>
      <c r="U115" s="180">
        <f t="shared" si="59"/>
        <v>59.965524488539238</v>
      </c>
      <c r="V115" s="180">
        <f t="shared" si="55"/>
        <v>-120.03447551146076</v>
      </c>
      <c r="W115" s="180">
        <f t="shared" si="60"/>
        <v>5.2787057119745127</v>
      </c>
      <c r="X115">
        <f t="shared" si="61"/>
        <v>3.1074417862327519</v>
      </c>
      <c r="Y115">
        <f t="shared" si="62"/>
        <v>2.0526421029127446</v>
      </c>
      <c r="Z115">
        <f t="shared" si="63"/>
        <v>1.4586049754497401</v>
      </c>
      <c r="AA115">
        <f t="shared" si="64"/>
        <v>1.0904539068923729</v>
      </c>
      <c r="AB115">
        <f t="shared" si="65"/>
        <v>0.84633145284853106</v>
      </c>
      <c r="AC115" s="14">
        <f t="shared" si="66"/>
        <v>0.67606325367530351</v>
      </c>
    </row>
    <row r="116" spans="16:29" x14ac:dyDescent="0.2">
      <c r="P116" s="172">
        <f t="shared" si="56"/>
        <v>9.9999999999999805</v>
      </c>
      <c r="Q116" s="16">
        <f t="shared" si="53"/>
        <v>9.599999999999989</v>
      </c>
      <c r="R116" s="180">
        <f t="shared" si="57"/>
        <v>18.195508153248603</v>
      </c>
      <c r="S116" s="180">
        <f t="shared" si="54"/>
        <v>71.804491846751404</v>
      </c>
      <c r="T116" s="180">
        <f t="shared" si="58"/>
        <v>5.1628287209136525</v>
      </c>
      <c r="U116" s="180">
        <f t="shared" si="59"/>
        <v>59.838645355491629</v>
      </c>
      <c r="V116" s="180">
        <f t="shared" si="55"/>
        <v>-120.16135464450838</v>
      </c>
      <c r="W116" s="180">
        <f t="shared" si="60"/>
        <v>5.6480953514811389</v>
      </c>
      <c r="X116">
        <f t="shared" si="61"/>
        <v>3.3257909565634951</v>
      </c>
      <c r="Y116">
        <f t="shared" si="62"/>
        <v>2.1971375050854074</v>
      </c>
      <c r="Z116">
        <f t="shared" si="63"/>
        <v>1.5613839820564035</v>
      </c>
      <c r="AA116">
        <f t="shared" si="64"/>
        <v>1.1673370377882106</v>
      </c>
      <c r="AB116">
        <f t="shared" si="65"/>
        <v>0.90602560960578304</v>
      </c>
      <c r="AC116" s="14">
        <f t="shared" si="66"/>
        <v>0.72376060342864001</v>
      </c>
    </row>
    <row r="117" spans="16:29" x14ac:dyDescent="0.2">
      <c r="P117" s="172">
        <f t="shared" si="56"/>
        <v>10.09999999999998</v>
      </c>
      <c r="Q117" s="16">
        <f t="shared" si="53"/>
        <v>10.059999999999988</v>
      </c>
      <c r="R117" s="180">
        <f t="shared" si="57"/>
        <v>16.940701147906783</v>
      </c>
      <c r="S117" s="180">
        <f t="shared" si="54"/>
        <v>73.059298852093221</v>
      </c>
      <c r="T117" s="180">
        <f t="shared" si="58"/>
        <v>5.2628287209136522</v>
      </c>
      <c r="U117" s="180">
        <f t="shared" si="59"/>
        <v>59.695016867565769</v>
      </c>
      <c r="V117" s="180">
        <f t="shared" si="55"/>
        <v>-120.30498313243423</v>
      </c>
      <c r="W117" s="180">
        <f t="shared" si="60"/>
        <v>6.0696886461471502</v>
      </c>
      <c r="X117">
        <f t="shared" si="61"/>
        <v>3.5749981249894431</v>
      </c>
      <c r="Y117">
        <f t="shared" si="62"/>
        <v>2.3620535886751597</v>
      </c>
      <c r="Z117">
        <f t="shared" si="63"/>
        <v>1.6786881383821679</v>
      </c>
      <c r="AA117">
        <f t="shared" si="64"/>
        <v>1.2550856072984635</v>
      </c>
      <c r="AB117">
        <f t="shared" si="65"/>
        <v>0.97415598882598253</v>
      </c>
      <c r="AC117" s="14">
        <f t="shared" si="66"/>
        <v>0.77819873779592907</v>
      </c>
    </row>
    <row r="118" spans="16:29" x14ac:dyDescent="0.2">
      <c r="P118" s="172">
        <f t="shared" si="56"/>
        <v>10.19999999999998</v>
      </c>
      <c r="Q118" s="16">
        <f t="shared" si="53"/>
        <v>10.119999999999989</v>
      </c>
      <c r="R118" s="180">
        <f t="shared" si="57"/>
        <v>15.687837336286863</v>
      </c>
      <c r="S118" s="180">
        <f t="shared" si="54"/>
        <v>74.312162663713138</v>
      </c>
      <c r="T118" s="180">
        <f t="shared" si="58"/>
        <v>5.3628287209136518</v>
      </c>
      <c r="U118" s="180">
        <f t="shared" si="59"/>
        <v>59.534871625295779</v>
      </c>
      <c r="V118" s="180">
        <f t="shared" si="55"/>
        <v>-120.46512837470422</v>
      </c>
      <c r="W118" s="180">
        <f t="shared" si="60"/>
        <v>6.5558017296210318</v>
      </c>
      <c r="X118">
        <f t="shared" si="61"/>
        <v>3.8623434566159873</v>
      </c>
      <c r="Y118">
        <f t="shared" si="62"/>
        <v>2.5522080975882111</v>
      </c>
      <c r="Z118">
        <f t="shared" si="63"/>
        <v>1.8139442865640159</v>
      </c>
      <c r="AA118">
        <f t="shared" si="64"/>
        <v>1.3562630411778218</v>
      </c>
      <c r="AB118">
        <f t="shared" si="65"/>
        <v>1.0527129040805601</v>
      </c>
      <c r="AC118" s="14">
        <f t="shared" si="66"/>
        <v>0.84096797461885475</v>
      </c>
    </row>
    <row r="119" spans="16:29" x14ac:dyDescent="0.2">
      <c r="P119" s="172">
        <f t="shared" si="56"/>
        <v>10.299999999999979</v>
      </c>
      <c r="Q119" s="16">
        <f t="shared" si="53"/>
        <v>10.179999999999987</v>
      </c>
      <c r="R119" s="180">
        <f t="shared" si="57"/>
        <v>14.437137033044237</v>
      </c>
      <c r="S119" s="180">
        <f t="shared" si="54"/>
        <v>75.562862966955763</v>
      </c>
      <c r="T119" s="180">
        <f t="shared" si="58"/>
        <v>5.4628287209136515</v>
      </c>
      <c r="U119" s="180">
        <f t="shared" si="59"/>
        <v>59.35839878373983</v>
      </c>
      <c r="V119" s="180">
        <f t="shared" si="55"/>
        <v>-120.64160121626017</v>
      </c>
      <c r="W119" s="180">
        <f t="shared" si="60"/>
        <v>7.1229495389346855</v>
      </c>
      <c r="X119">
        <f t="shared" si="61"/>
        <v>4.1975890628109429</v>
      </c>
      <c r="Y119">
        <f t="shared" si="62"/>
        <v>2.7740612359371308</v>
      </c>
      <c r="Z119">
        <f t="shared" si="63"/>
        <v>1.9717475441709669</v>
      </c>
      <c r="AA119">
        <f t="shared" si="64"/>
        <v>1.4743066856043112</v>
      </c>
      <c r="AB119">
        <f t="shared" si="65"/>
        <v>1.1443652045590473</v>
      </c>
      <c r="AC119" s="14">
        <f t="shared" si="66"/>
        <v>0.91420080123197556</v>
      </c>
    </row>
    <row r="120" spans="16:29" x14ac:dyDescent="0.2">
      <c r="P120" s="172">
        <f t="shared" si="56"/>
        <v>10.399999999999979</v>
      </c>
      <c r="Q120" s="16">
        <f t="shared" si="53"/>
        <v>10.239999999999988</v>
      </c>
      <c r="R120" s="180">
        <f t="shared" si="57"/>
        <v>13.188821514209289</v>
      </c>
      <c r="S120" s="180">
        <f t="shared" si="54"/>
        <v>76.811178485790705</v>
      </c>
      <c r="T120" s="180">
        <f t="shared" si="58"/>
        <v>5.5628287209136511</v>
      </c>
      <c r="U120" s="180">
        <f t="shared" si="59"/>
        <v>59.165746227951402</v>
      </c>
      <c r="V120" s="180">
        <f t="shared" si="55"/>
        <v>-120.8342537720486</v>
      </c>
      <c r="W120" s="180">
        <f t="shared" si="60"/>
        <v>7.7938014170900889</v>
      </c>
      <c r="X120">
        <f t="shared" si="61"/>
        <v>4.5941349735346391</v>
      </c>
      <c r="Y120">
        <f t="shared" si="62"/>
        <v>3.0364806477588107</v>
      </c>
      <c r="Z120">
        <f t="shared" si="63"/>
        <v>2.1584054312441365</v>
      </c>
      <c r="AA120">
        <f t="shared" si="64"/>
        <v>1.6139348376792566</v>
      </c>
      <c r="AB120">
        <f t="shared" si="65"/>
        <v>1.2527763046348175</v>
      </c>
      <c r="AC120" s="14">
        <f t="shared" si="66"/>
        <v>1.000824391183764</v>
      </c>
    </row>
    <row r="121" spans="16:29" x14ac:dyDescent="0.2">
      <c r="P121" s="172">
        <f t="shared" si="56"/>
        <v>10.499999999999979</v>
      </c>
      <c r="Q121" s="16">
        <f t="shared" si="53"/>
        <v>10.299999999999986</v>
      </c>
      <c r="R121" s="180">
        <f t="shared" si="57"/>
        <v>11.94311378679159</v>
      </c>
      <c r="S121" s="180">
        <f t="shared" si="54"/>
        <v>78.056886213208415</v>
      </c>
      <c r="T121" s="180">
        <f t="shared" si="58"/>
        <v>5.6628287209136507</v>
      </c>
      <c r="U121" s="180">
        <f t="shared" si="59"/>
        <v>58.957022492346816</v>
      </c>
      <c r="V121" s="180">
        <f t="shared" si="55"/>
        <v>-121.04297750765318</v>
      </c>
      <c r="W121" s="180">
        <f t="shared" si="60"/>
        <v>8.600341986769374</v>
      </c>
      <c r="X121">
        <f t="shared" si="61"/>
        <v>5.0708875550709651</v>
      </c>
      <c r="Y121">
        <f t="shared" si="62"/>
        <v>3.3519778667388422</v>
      </c>
      <c r="Z121">
        <f t="shared" si="63"/>
        <v>2.3828173520828706</v>
      </c>
      <c r="AA121">
        <f t="shared" si="64"/>
        <v>1.7818046357447319</v>
      </c>
      <c r="AB121">
        <f t="shared" si="65"/>
        <v>1.3831149878253486</v>
      </c>
      <c r="AC121" s="14">
        <f t="shared" si="66"/>
        <v>1.1049687513061277</v>
      </c>
    </row>
    <row r="122" spans="16:29" x14ac:dyDescent="0.2">
      <c r="P122" s="172">
        <f t="shared" si="56"/>
        <v>10.599999999999978</v>
      </c>
      <c r="Q122" s="16">
        <f t="shared" si="53"/>
        <v>10.359999999999987</v>
      </c>
      <c r="R122" s="180">
        <f t="shared" si="57"/>
        <v>10.700239338195976</v>
      </c>
      <c r="S122" s="180">
        <f t="shared" si="54"/>
        <v>79.299760661804029</v>
      </c>
      <c r="T122" s="180">
        <f t="shared" si="58"/>
        <v>5.7628287209136504</v>
      </c>
      <c r="U122" s="180">
        <f t="shared" si="59"/>
        <v>58.732298448903897</v>
      </c>
      <c r="V122" s="180">
        <f t="shared" si="55"/>
        <v>-121.26770155109611</v>
      </c>
      <c r="W122" s="180">
        <f t="shared" si="60"/>
        <v>9.5892031272555887</v>
      </c>
      <c r="X122">
        <f t="shared" si="61"/>
        <v>5.6554112842309543</v>
      </c>
      <c r="Y122">
        <f t="shared" si="62"/>
        <v>3.7387940437662177</v>
      </c>
      <c r="Z122">
        <f t="shared" si="63"/>
        <v>2.657958164983993</v>
      </c>
      <c r="AA122">
        <f t="shared" si="64"/>
        <v>1.9876218335506961</v>
      </c>
      <c r="AB122">
        <f t="shared" si="65"/>
        <v>1.5429170656805404</v>
      </c>
      <c r="AC122" s="14">
        <f t="shared" si="66"/>
        <v>1.2326552119720287</v>
      </c>
    </row>
    <row r="123" spans="16:29" x14ac:dyDescent="0.2">
      <c r="P123" s="172">
        <f t="shared" si="56"/>
        <v>10.699999999999978</v>
      </c>
      <c r="Q123" s="16">
        <f t="shared" si="53"/>
        <v>10.419999999999987</v>
      </c>
      <c r="R123" s="180">
        <f t="shared" si="57"/>
        <v>9.4604268708478472</v>
      </c>
      <c r="S123" s="180" t="e">
        <f t="shared" si="54"/>
        <v>#N/A</v>
      </c>
      <c r="T123" s="180">
        <f t="shared" si="58"/>
        <v>5.86282872091365</v>
      </c>
      <c r="U123" s="180">
        <f t="shared" si="59"/>
        <v>58.491608786588678</v>
      </c>
      <c r="V123" s="180">
        <f t="shared" si="55"/>
        <v>-121.50839121341133</v>
      </c>
      <c r="W123" s="180" t="e">
        <f t="shared" si="60"/>
        <v>#N/A</v>
      </c>
      <c r="X123" t="e">
        <f t="shared" si="61"/>
        <v>#N/A</v>
      </c>
      <c r="Y123" t="e">
        <f t="shared" si="62"/>
        <v>#N/A</v>
      </c>
      <c r="Z123" t="e">
        <f t="shared" si="63"/>
        <v>#N/A</v>
      </c>
      <c r="AA123" t="e">
        <f t="shared" si="64"/>
        <v>#N/A</v>
      </c>
      <c r="AB123" t="e">
        <f t="shared" si="65"/>
        <v>#N/A</v>
      </c>
      <c r="AC123" s="14" t="e">
        <f t="shared" si="66"/>
        <v>#N/A</v>
      </c>
    </row>
    <row r="124" spans="16:29" x14ac:dyDescent="0.2">
      <c r="P124" s="172">
        <f t="shared" si="56"/>
        <v>10.799999999999978</v>
      </c>
      <c r="Q124" s="16">
        <f t="shared" si="53"/>
        <v>10.479999999999986</v>
      </c>
      <c r="R124" s="180">
        <f t="shared" si="57"/>
        <v>8.2239090269648703</v>
      </c>
      <c r="S124" s="180" t="e">
        <f t="shared" si="54"/>
        <v>#N/A</v>
      </c>
      <c r="T124" s="180">
        <f t="shared" si="58"/>
        <v>5.9628287209136497</v>
      </c>
      <c r="U124" s="180">
        <f t="shared" si="59"/>
        <v>58.234953302226785</v>
      </c>
      <c r="V124" s="180">
        <f t="shared" si="55"/>
        <v>-121.76504669777322</v>
      </c>
      <c r="W124" s="180" t="e">
        <f t="shared" si="60"/>
        <v>#N/A</v>
      </c>
      <c r="X124" t="e">
        <f t="shared" si="61"/>
        <v>#N/A</v>
      </c>
      <c r="Y124" t="e">
        <f t="shared" si="62"/>
        <v>#N/A</v>
      </c>
      <c r="Z124" t="e">
        <f t="shared" si="63"/>
        <v>#N/A</v>
      </c>
      <c r="AA124" t="e">
        <f t="shared" si="64"/>
        <v>#N/A</v>
      </c>
      <c r="AB124" t="e">
        <f t="shared" si="65"/>
        <v>#N/A</v>
      </c>
      <c r="AC124" s="14" t="e">
        <f t="shared" si="66"/>
        <v>#N/A</v>
      </c>
    </row>
    <row r="125" spans="16:29" x14ac:dyDescent="0.2">
      <c r="P125" s="172">
        <f t="shared" si="56"/>
        <v>10.899999999999977</v>
      </c>
      <c r="Q125" s="16">
        <f t="shared" si="53"/>
        <v>10.539999999999987</v>
      </c>
      <c r="R125" s="180">
        <f t="shared" si="57"/>
        <v>6.9909231080136758</v>
      </c>
      <c r="S125" s="180" t="e">
        <f t="shared" si="54"/>
        <v>#N/A</v>
      </c>
      <c r="T125" s="180">
        <f t="shared" si="58"/>
        <v>6.0628287209136493</v>
      </c>
      <c r="U125" s="180">
        <f t="shared" si="59"/>
        <v>57.962298021182328</v>
      </c>
      <c r="V125" s="180">
        <f t="shared" si="55"/>
        <v>-122.03770197881767</v>
      </c>
      <c r="W125" s="180" t="e">
        <f t="shared" si="60"/>
        <v>#N/A</v>
      </c>
      <c r="X125" t="e">
        <f t="shared" si="61"/>
        <v>#N/A</v>
      </c>
      <c r="Y125" t="e">
        <f t="shared" si="62"/>
        <v>#N/A</v>
      </c>
      <c r="Z125" t="e">
        <f t="shared" si="63"/>
        <v>#N/A</v>
      </c>
      <c r="AA125" t="e">
        <f t="shared" si="64"/>
        <v>#N/A</v>
      </c>
      <c r="AB125" t="e">
        <f t="shared" si="65"/>
        <v>#N/A</v>
      </c>
      <c r="AC125" s="14" t="e">
        <f t="shared" si="66"/>
        <v>#N/A</v>
      </c>
    </row>
    <row r="126" spans="16:29" x14ac:dyDescent="0.2">
      <c r="P126" s="172">
        <f t="shared" si="56"/>
        <v>10.999999999999977</v>
      </c>
      <c r="Q126" s="16">
        <f t="shared" si="53"/>
        <v>11.599999999999985</v>
      </c>
      <c r="R126" s="180">
        <f t="shared" si="57"/>
        <v>5.7617117930417523</v>
      </c>
      <c r="S126" s="180" t="e">
        <f t="shared" si="54"/>
        <v>#N/A</v>
      </c>
      <c r="T126" s="180">
        <f t="shared" si="58"/>
        <v>6.162828720913649</v>
      </c>
      <c r="U126" s="180">
        <f t="shared" si="59"/>
        <v>57.673576164649077</v>
      </c>
      <c r="V126" s="180">
        <f t="shared" si="55"/>
        <v>-122.32642383535092</v>
      </c>
      <c r="W126" s="180" t="e">
        <f t="shared" si="60"/>
        <v>#N/A</v>
      </c>
      <c r="X126" t="e">
        <f t="shared" si="61"/>
        <v>#N/A</v>
      </c>
      <c r="Y126" t="e">
        <f t="shared" si="62"/>
        <v>#N/A</v>
      </c>
      <c r="Z126" t="e">
        <f t="shared" si="63"/>
        <v>#N/A</v>
      </c>
      <c r="AA126" t="e">
        <f t="shared" si="64"/>
        <v>#N/A</v>
      </c>
      <c r="AB126" t="e">
        <f t="shared" si="65"/>
        <v>#N/A</v>
      </c>
      <c r="AC126" s="14" t="e">
        <f t="shared" si="66"/>
        <v>#N/A</v>
      </c>
    </row>
    <row r="127" spans="16:29" x14ac:dyDescent="0.2">
      <c r="P127" s="172">
        <f t="shared" si="56"/>
        <v>11.099999999999977</v>
      </c>
      <c r="Q127" s="16">
        <f t="shared" si="53"/>
        <v>11.059999999999986</v>
      </c>
      <c r="R127" s="180">
        <f t="shared" si="57"/>
        <v>4.5365238597694519</v>
      </c>
      <c r="S127" s="180" t="e">
        <f t="shared" si="54"/>
        <v>#N/A</v>
      </c>
      <c r="T127" s="180">
        <f t="shared" si="58"/>
        <v>6.2628287209136486</v>
      </c>
      <c r="U127" s="180">
        <f t="shared" si="59"/>
        <v>57.368688979074101</v>
      </c>
      <c r="V127" s="180">
        <f t="shared" si="55"/>
        <v>-122.63131102092589</v>
      </c>
      <c r="W127" s="180" t="e">
        <f t="shared" si="60"/>
        <v>#N/A</v>
      </c>
      <c r="X127" t="e">
        <f t="shared" si="61"/>
        <v>#N/A</v>
      </c>
      <c r="Y127" t="e">
        <f t="shared" si="62"/>
        <v>#N/A</v>
      </c>
      <c r="Z127" t="e">
        <f t="shared" si="63"/>
        <v>#N/A</v>
      </c>
      <c r="AA127" t="e">
        <f t="shared" si="64"/>
        <v>#N/A</v>
      </c>
      <c r="AB127" t="e">
        <f t="shared" si="65"/>
        <v>#N/A</v>
      </c>
      <c r="AC127" s="14" t="e">
        <f t="shared" si="66"/>
        <v>#N/A</v>
      </c>
    </row>
    <row r="128" spans="16:29" x14ac:dyDescent="0.2">
      <c r="P128" s="172">
        <f t="shared" si="56"/>
        <v>11.199999999999976</v>
      </c>
      <c r="Q128" s="16">
        <f t="shared" si="53"/>
        <v>11.119999999999985</v>
      </c>
      <c r="R128" s="180">
        <f t="shared" si="57"/>
        <v>3.3156149120543104</v>
      </c>
      <c r="S128" s="180" t="e">
        <f t="shared" si="54"/>
        <v>#N/A</v>
      </c>
      <c r="T128" s="180">
        <f t="shared" si="58"/>
        <v>6.3628287209136483</v>
      </c>
      <c r="U128" s="180">
        <f t="shared" si="59"/>
        <v>57.047506442202874</v>
      </c>
      <c r="V128" s="180">
        <f t="shared" si="55"/>
        <v>-122.95249355779713</v>
      </c>
      <c r="W128" s="180" t="e">
        <f t="shared" si="60"/>
        <v>#N/A</v>
      </c>
      <c r="X128" t="e">
        <f t="shared" si="61"/>
        <v>#N/A</v>
      </c>
      <c r="Y128" t="e">
        <f t="shared" si="62"/>
        <v>#N/A</v>
      </c>
      <c r="Z128" t="e">
        <f t="shared" si="63"/>
        <v>#N/A</v>
      </c>
      <c r="AA128" t="e">
        <f t="shared" si="64"/>
        <v>#N/A</v>
      </c>
      <c r="AB128" t="e">
        <f t="shared" si="65"/>
        <v>#N/A</v>
      </c>
      <c r="AC128" s="14" t="e">
        <f t="shared" si="66"/>
        <v>#N/A</v>
      </c>
    </row>
    <row r="129" spans="16:29" x14ac:dyDescent="0.2">
      <c r="P129" s="172">
        <f t="shared" si="56"/>
        <v>11.299999999999976</v>
      </c>
      <c r="Q129" s="16">
        <f t="shared" si="53"/>
        <v>11.179999999999986</v>
      </c>
      <c r="R129" s="180">
        <f t="shared" si="57"/>
        <v>2.0992481170928232</v>
      </c>
      <c r="S129" s="180" t="e">
        <f t="shared" si="54"/>
        <v>#N/A</v>
      </c>
      <c r="T129" s="180">
        <f t="shared" si="58"/>
        <v>6.4628287209136479</v>
      </c>
      <c r="U129" s="180">
        <f t="shared" si="59"/>
        <v>56.709867859442319</v>
      </c>
      <c r="V129" s="180">
        <f t="shared" si="55"/>
        <v>-123.29013214055769</v>
      </c>
      <c r="W129" s="180" t="e">
        <f t="shared" si="60"/>
        <v>#N/A</v>
      </c>
      <c r="X129" t="e">
        <f t="shared" si="61"/>
        <v>#N/A</v>
      </c>
      <c r="Y129" t="e">
        <f t="shared" si="62"/>
        <v>#N/A</v>
      </c>
      <c r="Z129" t="e">
        <f t="shared" si="63"/>
        <v>#N/A</v>
      </c>
      <c r="AA129" t="e">
        <f t="shared" si="64"/>
        <v>#N/A</v>
      </c>
      <c r="AB129" t="e">
        <f t="shared" si="65"/>
        <v>#N/A</v>
      </c>
      <c r="AC129" s="14" t="e">
        <f t="shared" si="66"/>
        <v>#N/A</v>
      </c>
    </row>
    <row r="130" spans="16:29" x14ac:dyDescent="0.2">
      <c r="P130" s="172">
        <f t="shared" si="56"/>
        <v>11.399999999999975</v>
      </c>
      <c r="Q130" s="16">
        <f t="shared" si="53"/>
        <v>11.239999999999986</v>
      </c>
      <c r="R130" s="180">
        <f t="shared" si="57"/>
        <v>0.88769495549724764</v>
      </c>
      <c r="S130" s="180" t="e">
        <f t="shared" si="54"/>
        <v>#N/A</v>
      </c>
      <c r="T130" s="180">
        <f t="shared" si="58"/>
        <v>6.5628287209136476</v>
      </c>
      <c r="U130" s="180">
        <f t="shared" si="59"/>
        <v>56.355582363675154</v>
      </c>
      <c r="V130" s="180">
        <f t="shared" si="55"/>
        <v>-123.64441763632485</v>
      </c>
      <c r="W130" s="180" t="e">
        <f t="shared" si="60"/>
        <v>#N/A</v>
      </c>
      <c r="X130" t="e">
        <f t="shared" si="61"/>
        <v>#N/A</v>
      </c>
      <c r="Y130" t="e">
        <f t="shared" si="62"/>
        <v>#N/A</v>
      </c>
      <c r="Z130" t="e">
        <f t="shared" si="63"/>
        <v>#N/A</v>
      </c>
      <c r="AA130" t="e">
        <f t="shared" si="64"/>
        <v>#N/A</v>
      </c>
      <c r="AB130" t="e">
        <f t="shared" si="65"/>
        <v>#N/A</v>
      </c>
      <c r="AC130" s="14" t="e">
        <f t="shared" si="66"/>
        <v>#N/A</v>
      </c>
    </row>
    <row r="131" spans="16:29" x14ac:dyDescent="0.2">
      <c r="P131" s="172">
        <f t="shared" si="56"/>
        <v>11.499999999999975</v>
      </c>
      <c r="Q131" s="16">
        <f t="shared" si="53"/>
        <v>11.299999999999985</v>
      </c>
      <c r="R131" s="180">
        <f t="shared" si="57"/>
        <v>-0.31876401283336198</v>
      </c>
      <c r="S131" s="180" t="e">
        <f t="shared" si="54"/>
        <v>#N/A</v>
      </c>
      <c r="T131" s="180">
        <f t="shared" si="58"/>
        <v>6.6628287209136472</v>
      </c>
      <c r="U131" s="180">
        <f t="shared" si="59"/>
        <v>55.984429331314558</v>
      </c>
      <c r="V131" s="180">
        <f t="shared" si="55"/>
        <v>-124.01557066868544</v>
      </c>
      <c r="W131" s="180" t="e">
        <f t="shared" si="60"/>
        <v>#N/A</v>
      </c>
      <c r="X131" t="e">
        <f t="shared" si="61"/>
        <v>#N/A</v>
      </c>
      <c r="Y131" t="e">
        <f t="shared" si="62"/>
        <v>#N/A</v>
      </c>
      <c r="Z131" t="e">
        <f t="shared" si="63"/>
        <v>#N/A</v>
      </c>
      <c r="AA131" t="e">
        <f t="shared" si="64"/>
        <v>#N/A</v>
      </c>
      <c r="AB131" t="e">
        <f t="shared" si="65"/>
        <v>#N/A</v>
      </c>
      <c r="AC131" s="14" t="e">
        <f t="shared" si="66"/>
        <v>#N/A</v>
      </c>
    </row>
    <row r="132" spans="16:29" x14ac:dyDescent="0.2">
      <c r="P132" s="172">
        <f t="shared" si="56"/>
        <v>11.599999999999975</v>
      </c>
      <c r="Q132" s="16">
        <f t="shared" si="53"/>
        <v>11.359999999999985</v>
      </c>
      <c r="R132" s="180">
        <f t="shared" si="57"/>
        <v>-1.5198383643420106</v>
      </c>
      <c r="S132" s="180" t="e">
        <f t="shared" si="54"/>
        <v>#N/A</v>
      </c>
      <c r="T132" s="180">
        <f t="shared" si="58"/>
        <v>6.7628287209136468</v>
      </c>
      <c r="U132" s="180">
        <f t="shared" si="59"/>
        <v>55.596158727262022</v>
      </c>
      <c r="V132" s="180">
        <f t="shared" si="55"/>
        <v>-124.40384127273798</v>
      </c>
      <c r="W132" s="180" t="e">
        <f t="shared" si="60"/>
        <v>#N/A</v>
      </c>
      <c r="X132" t="e">
        <f t="shared" si="61"/>
        <v>#N/A</v>
      </c>
      <c r="Y132" t="e">
        <f t="shared" si="62"/>
        <v>#N/A</v>
      </c>
      <c r="Z132" t="e">
        <f t="shared" si="63"/>
        <v>#N/A</v>
      </c>
      <c r="AA132" t="e">
        <f t="shared" si="64"/>
        <v>#N/A</v>
      </c>
      <c r="AB132" t="e">
        <f t="shared" si="65"/>
        <v>#N/A</v>
      </c>
      <c r="AC132" s="14" t="e">
        <f t="shared" si="66"/>
        <v>#N/A</v>
      </c>
    </row>
    <row r="133" spans="16:29" x14ac:dyDescent="0.2">
      <c r="P133" s="172">
        <f t="shared" si="56"/>
        <v>11.699999999999974</v>
      </c>
      <c r="Q133" s="16">
        <f t="shared" si="53"/>
        <v>11.419999999999984</v>
      </c>
      <c r="R133" s="180">
        <f t="shared" ref="R133:R166" si="67">180/PI()*ASIN(SIN(RADIANS($B$22))*SIN(RADIANS($B$24)) + COS(RADIANS($B$22))*COS(RADIANS($B$24))*COS(RADIANS(15*(P133+$B$25-$B$23))))</f>
        <v>-2.7152270064537718</v>
      </c>
      <c r="S133" s="180" t="e">
        <f t="shared" si="54"/>
        <v>#N/A</v>
      </c>
      <c r="T133" s="180">
        <f t="shared" ref="T133:T166" si="68">$B$25 + P133 - $B$23</f>
        <v>6.8628287209136465</v>
      </c>
      <c r="U133" s="180">
        <f t="shared" ref="U133:U164" si="69">180/PI()*ATAN2(TAN(RADIANS($B$22))*COS(RADIANS($B$24)) - SIN(RADIANS($B$24))*COS(RADIANS(15*T133)),SIN(RADIANS(15*T133)))</f>
        <v>55.190491391519615</v>
      </c>
      <c r="V133" s="180">
        <f t="shared" si="55"/>
        <v>-124.80950860848039</v>
      </c>
      <c r="W133" s="180" t="e">
        <f t="shared" ref="W133:W166" si="70">$B$20*TAN(RADIANS(S133))*6085*(1/(146 - $W$4^-2) - 1/(146-$B$9^-2)) + 52.6*(1/(41 - $W$4^-2) - 1/(41 - $B$9^-2))</f>
        <v>#N/A</v>
      </c>
      <c r="X133" t="e">
        <f t="shared" ref="X133:X166" si="71">$B$20*TAN(RADIANS(S133))*6085*(1/(146 - $X$4^-2) - 1/(146-$B$9^-2)) + 52.6*(1/(41 - $X$4^-2) - 1/(41 - $B$9^-2))</f>
        <v>#N/A</v>
      </c>
      <c r="Y133" t="e">
        <f t="shared" ref="Y133:Y166" si="72">$B$20*TAN(RADIANS(S133))*6085*(1/(146 - $Y$4^-2) - 1/(146-$B$9^-2)) + 52.6*(1/(41 - $Y$4^-2) - 1/(41 - $B$9^-2))</f>
        <v>#N/A</v>
      </c>
      <c r="Z133" t="e">
        <f t="shared" ref="Z133:Z166" si="73">$B$20*TAN(RADIANS(S133))*6085*(1/(146 - $Z$4^-2) - 1/(146-$B$9^-2)) + 52.6*(1/(41 - $Z$4^-2) - 1/(41 - $B$9^-2))</f>
        <v>#N/A</v>
      </c>
      <c r="AA133" t="e">
        <f t="shared" ref="AA133:AA166" si="74">$B$20*TAN(RADIANS(S133))*6085*(1/(146 - $AA$4^-2) - 1/(146-$B$9^-2)) + 52.6*(1/(41 - $AA$4^-2) - 1/(41 - $B$9^-2))</f>
        <v>#N/A</v>
      </c>
      <c r="AB133" t="e">
        <f t="shared" ref="AB133:AB166" si="75">$B$20*TAN(RADIANS(S133))*6085*(1/(146 - $AB$4^-2) - 1/(146-$B$9^-2)) + 52.6*(1/(41 - $AB$4^-2) - 1/(41 - $B$9^-2))</f>
        <v>#N/A</v>
      </c>
      <c r="AC133" s="14" t="e">
        <f t="shared" ref="AC133:AC166" si="76">$B$20*TAN(RADIANS(S133))*6085*(1/(146 - $AC$4^-2) - 1/(146-$B$9^-2)) + 52.6*(1/(41 - $AC$4^-2) - 1/(41 - $B$9^-2))</f>
        <v>#N/A</v>
      </c>
    </row>
    <row r="134" spans="16:29" x14ac:dyDescent="0.2">
      <c r="P134" s="172">
        <f t="shared" si="56"/>
        <v>11.799999999999974</v>
      </c>
      <c r="Q134" s="16">
        <f t="shared" si="53"/>
        <v>11.479999999999984</v>
      </c>
      <c r="R134" s="180">
        <f t="shared" si="67"/>
        <v>-3.9046173489677258</v>
      </c>
      <c r="S134" s="180" t="e">
        <f t="shared" si="54"/>
        <v>#N/A</v>
      </c>
      <c r="T134" s="180">
        <f t="shared" si="68"/>
        <v>6.9628287209136461</v>
      </c>
      <c r="U134" s="180">
        <f t="shared" si="69"/>
        <v>54.767119280513455</v>
      </c>
      <c r="V134" s="180">
        <f t="shared" si="55"/>
        <v>-125.23288071948654</v>
      </c>
      <c r="W134" s="180" t="e">
        <f t="shared" si="70"/>
        <v>#N/A</v>
      </c>
      <c r="X134" t="e">
        <f t="shared" si="71"/>
        <v>#N/A</v>
      </c>
      <c r="Y134" t="e">
        <f t="shared" si="72"/>
        <v>#N/A</v>
      </c>
      <c r="Z134" t="e">
        <f t="shared" si="73"/>
        <v>#N/A</v>
      </c>
      <c r="AA134" t="e">
        <f t="shared" si="74"/>
        <v>#N/A</v>
      </c>
      <c r="AB134" t="e">
        <f t="shared" si="75"/>
        <v>#N/A</v>
      </c>
      <c r="AC134" s="14" t="e">
        <f t="shared" si="76"/>
        <v>#N/A</v>
      </c>
    </row>
    <row r="135" spans="16:29" x14ac:dyDescent="0.2">
      <c r="P135" s="172">
        <f t="shared" si="56"/>
        <v>11.899999999999974</v>
      </c>
      <c r="Q135" s="16">
        <f t="shared" ref="Q135:Q166" si="77">IF(P135&lt;0,INT(24+P135)+0.6*MOD(24+P135,1),INT(P135)+0.6*MOD(P135,1))</f>
        <v>11.539999999999985</v>
      </c>
      <c r="R135" s="180">
        <f t="shared" si="67"/>
        <v>-5.0876844501894469</v>
      </c>
      <c r="S135" s="180" t="e">
        <f t="shared" ref="S135:S166" si="78">IF(R135&lt;10,NA(),90-R135)</f>
        <v>#N/A</v>
      </c>
      <c r="T135" s="180">
        <f t="shared" si="68"/>
        <v>7.0628287209136458</v>
      </c>
      <c r="U135" s="180">
        <f t="shared" si="69"/>
        <v>54.325705676712325</v>
      </c>
      <c r="V135" s="180">
        <f t="shared" ref="V135:V166" si="79">IF(U135&lt;0,U135+180,U135-180)</f>
        <v>-125.67429432328768</v>
      </c>
      <c r="W135" s="180" t="e">
        <f t="shared" si="70"/>
        <v>#N/A</v>
      </c>
      <c r="X135" t="e">
        <f t="shared" si="71"/>
        <v>#N/A</v>
      </c>
      <c r="Y135" t="e">
        <f t="shared" si="72"/>
        <v>#N/A</v>
      </c>
      <c r="Z135" t="e">
        <f t="shared" si="73"/>
        <v>#N/A</v>
      </c>
      <c r="AA135" t="e">
        <f t="shared" si="74"/>
        <v>#N/A</v>
      </c>
      <c r="AB135" t="e">
        <f t="shared" si="75"/>
        <v>#N/A</v>
      </c>
      <c r="AC135" s="14" t="e">
        <f t="shared" si="76"/>
        <v>#N/A</v>
      </c>
    </row>
    <row r="136" spans="16:29" x14ac:dyDescent="0.2">
      <c r="P136" s="172">
        <f t="shared" ref="P136:P137" si="80">P135+0.1</f>
        <v>11.999999999999973</v>
      </c>
      <c r="Q136" s="16">
        <f t="shared" si="77"/>
        <v>12.599999999999984</v>
      </c>
      <c r="R136" s="180">
        <f t="shared" si="67"/>
        <v>-6.2640901360699157</v>
      </c>
      <c r="S136" s="180" t="e">
        <f t="shared" si="78"/>
        <v>#N/A</v>
      </c>
      <c r="T136" s="180">
        <f t="shared" si="68"/>
        <v>7.1628287209136454</v>
      </c>
      <c r="U136" s="180">
        <f t="shared" si="69"/>
        <v>53.865885380878773</v>
      </c>
      <c r="V136" s="180">
        <f t="shared" si="79"/>
        <v>-126.13411461912122</v>
      </c>
      <c r="W136" s="180" t="e">
        <f t="shared" si="70"/>
        <v>#N/A</v>
      </c>
      <c r="X136" t="e">
        <f t="shared" si="71"/>
        <v>#N/A</v>
      </c>
      <c r="Y136" t="e">
        <f t="shared" si="72"/>
        <v>#N/A</v>
      </c>
      <c r="Z136" t="e">
        <f t="shared" si="73"/>
        <v>#N/A</v>
      </c>
      <c r="AA136" t="e">
        <f t="shared" si="74"/>
        <v>#N/A</v>
      </c>
      <c r="AB136" t="e">
        <f t="shared" si="75"/>
        <v>#N/A</v>
      </c>
      <c r="AC136" s="14" t="e">
        <f t="shared" si="76"/>
        <v>#N/A</v>
      </c>
    </row>
    <row r="137" spans="16:29" x14ac:dyDescent="0.2">
      <c r="P137" s="172">
        <f t="shared" si="80"/>
        <v>12.099999999999973</v>
      </c>
      <c r="Q137" s="16">
        <f t="shared" si="77"/>
        <v>12.059999999999985</v>
      </c>
      <c r="R137" s="180">
        <f t="shared" si="67"/>
        <v>-7.4334820909316877</v>
      </c>
      <c r="S137" s="180" t="e">
        <f t="shared" si="78"/>
        <v>#N/A</v>
      </c>
      <c r="T137" s="180">
        <f t="shared" si="68"/>
        <v>7.2628287209136451</v>
      </c>
      <c r="U137" s="180">
        <f t="shared" si="69"/>
        <v>53.387264902279775</v>
      </c>
      <c r="V137" s="180">
        <f t="shared" si="79"/>
        <v>-126.61273509772022</v>
      </c>
      <c r="W137" s="180" t="e">
        <f t="shared" si="70"/>
        <v>#N/A</v>
      </c>
      <c r="X137" t="e">
        <f t="shared" si="71"/>
        <v>#N/A</v>
      </c>
      <c r="Y137" t="e">
        <f t="shared" si="72"/>
        <v>#N/A</v>
      </c>
      <c r="Z137" t="e">
        <f t="shared" si="73"/>
        <v>#N/A</v>
      </c>
      <c r="AA137" t="e">
        <f t="shared" si="74"/>
        <v>#N/A</v>
      </c>
      <c r="AB137" t="e">
        <f t="shared" si="75"/>
        <v>#N/A</v>
      </c>
      <c r="AC137" s="14" t="e">
        <f t="shared" si="76"/>
        <v>#N/A</v>
      </c>
    </row>
    <row r="138" spans="16:29" x14ac:dyDescent="0.2">
      <c r="P138" s="172">
        <f>P137+0.1</f>
        <v>12.199999999999973</v>
      </c>
      <c r="Q138" s="16">
        <f t="shared" si="77"/>
        <v>12.119999999999983</v>
      </c>
      <c r="R138" s="180">
        <f t="shared" si="67"/>
        <v>-8.5954929187266114</v>
      </c>
      <c r="S138" s="180" t="e">
        <f t="shared" si="78"/>
        <v>#N/A</v>
      </c>
      <c r="T138" s="180">
        <f t="shared" si="68"/>
        <v>7.3628287209136447</v>
      </c>
      <c r="U138" s="180">
        <f t="shared" si="69"/>
        <v>52.889422663416831</v>
      </c>
      <c r="V138" s="180">
        <f t="shared" si="79"/>
        <v>-127.11057733658316</v>
      </c>
      <c r="W138" s="180" t="e">
        <f t="shared" si="70"/>
        <v>#N/A</v>
      </c>
      <c r="X138" t="e">
        <f t="shared" si="71"/>
        <v>#N/A</v>
      </c>
      <c r="Y138" t="e">
        <f t="shared" si="72"/>
        <v>#N/A</v>
      </c>
      <c r="Z138" t="e">
        <f t="shared" si="73"/>
        <v>#N/A</v>
      </c>
      <c r="AA138" t="e">
        <f t="shared" si="74"/>
        <v>#N/A</v>
      </c>
      <c r="AB138" t="e">
        <f t="shared" si="75"/>
        <v>#N/A</v>
      </c>
      <c r="AC138" s="14" t="e">
        <f t="shared" si="76"/>
        <v>#N/A</v>
      </c>
    </row>
    <row r="139" spans="16:29" x14ac:dyDescent="0.2">
      <c r="P139" s="172">
        <f t="shared" ref="P139:P157" si="81">P138+0.1</f>
        <v>12.299999999999972</v>
      </c>
      <c r="Q139" s="16">
        <f t="shared" si="77"/>
        <v>12.179999999999984</v>
      </c>
      <c r="R139" s="180">
        <f t="shared" si="67"/>
        <v>-9.7497391741937278</v>
      </c>
      <c r="S139" s="180" t="e">
        <f t="shared" si="78"/>
        <v>#N/A</v>
      </c>
      <c r="T139" s="180">
        <f t="shared" si="68"/>
        <v>7.4628287209136444</v>
      </c>
      <c r="U139" s="180">
        <f t="shared" si="69"/>
        <v>52.371909237323003</v>
      </c>
      <c r="V139" s="180">
        <f t="shared" si="79"/>
        <v>-127.628090762677</v>
      </c>
      <c r="W139" s="180" t="e">
        <f t="shared" si="70"/>
        <v>#N/A</v>
      </c>
      <c r="X139" t="e">
        <f t="shared" si="71"/>
        <v>#N/A</v>
      </c>
      <c r="Y139" t="e">
        <f t="shared" si="72"/>
        <v>#N/A</v>
      </c>
      <c r="Z139" t="e">
        <f t="shared" si="73"/>
        <v>#N/A</v>
      </c>
      <c r="AA139" t="e">
        <f t="shared" si="74"/>
        <v>#N/A</v>
      </c>
      <c r="AB139" t="e">
        <f t="shared" si="75"/>
        <v>#N/A</v>
      </c>
      <c r="AC139" s="14" t="e">
        <f t="shared" si="76"/>
        <v>#N/A</v>
      </c>
    </row>
    <row r="140" spans="16:29" x14ac:dyDescent="0.2">
      <c r="P140" s="172">
        <f t="shared" si="81"/>
        <v>12.399999999999972</v>
      </c>
      <c r="Q140" s="16">
        <f t="shared" si="77"/>
        <v>12.239999999999982</v>
      </c>
      <c r="R140" s="180">
        <f t="shared" si="67"/>
        <v>-10.895820363782335</v>
      </c>
      <c r="S140" s="180" t="e">
        <f t="shared" si="78"/>
        <v>#N/A</v>
      </c>
      <c r="T140" s="180">
        <f t="shared" si="68"/>
        <v>7.562828720913644</v>
      </c>
      <c r="U140" s="180">
        <f t="shared" si="69"/>
        <v>51.83424763722536</v>
      </c>
      <c r="V140" s="180">
        <f t="shared" si="79"/>
        <v>-128.16575236277464</v>
      </c>
      <c r="W140" s="180" t="e">
        <f t="shared" si="70"/>
        <v>#N/A</v>
      </c>
      <c r="X140" t="e">
        <f t="shared" si="71"/>
        <v>#N/A</v>
      </c>
      <c r="Y140" t="e">
        <f t="shared" si="72"/>
        <v>#N/A</v>
      </c>
      <c r="Z140" t="e">
        <f t="shared" si="73"/>
        <v>#N/A</v>
      </c>
      <c r="AA140" t="e">
        <f t="shared" si="74"/>
        <v>#N/A</v>
      </c>
      <c r="AB140" t="e">
        <f t="shared" si="75"/>
        <v>#N/A</v>
      </c>
      <c r="AC140" s="14" t="e">
        <f t="shared" si="76"/>
        <v>#N/A</v>
      </c>
    </row>
    <row r="141" spans="16:29" x14ac:dyDescent="0.2">
      <c r="P141" s="172">
        <f t="shared" si="81"/>
        <v>12.499999999999972</v>
      </c>
      <c r="Q141" s="16">
        <f t="shared" si="77"/>
        <v>12.299999999999983</v>
      </c>
      <c r="R141" s="180">
        <f t="shared" si="67"/>
        <v>-12.033317916789576</v>
      </c>
      <c r="S141" s="180" t="e">
        <f t="shared" si="78"/>
        <v>#N/A</v>
      </c>
      <c r="T141" s="180">
        <f t="shared" si="68"/>
        <v>7.6628287209136436</v>
      </c>
      <c r="U141" s="180">
        <f t="shared" si="69"/>
        <v>51.275933680394658</v>
      </c>
      <c r="V141" s="180">
        <f t="shared" si="79"/>
        <v>-128.72406631960536</v>
      </c>
      <c r="W141" s="180" t="e">
        <f t="shared" si="70"/>
        <v>#N/A</v>
      </c>
      <c r="X141" t="e">
        <f t="shared" si="71"/>
        <v>#N/A</v>
      </c>
      <c r="Y141" t="e">
        <f t="shared" si="72"/>
        <v>#N/A</v>
      </c>
      <c r="Z141" t="e">
        <f t="shared" si="73"/>
        <v>#N/A</v>
      </c>
      <c r="AA141" t="e">
        <f t="shared" si="74"/>
        <v>#N/A</v>
      </c>
      <c r="AB141" t="e">
        <f t="shared" si="75"/>
        <v>#N/A</v>
      </c>
      <c r="AC141" s="14" t="e">
        <f t="shared" si="76"/>
        <v>#N/A</v>
      </c>
    </row>
    <row r="142" spans="16:29" x14ac:dyDescent="0.2">
      <c r="P142" s="172">
        <f t="shared" si="81"/>
        <v>12.599999999999971</v>
      </c>
      <c r="Q142" s="16">
        <f t="shared" si="77"/>
        <v>12.359999999999983</v>
      </c>
      <c r="R142" s="180">
        <f t="shared" si="67"/>
        <v>-13.161794127848735</v>
      </c>
      <c r="S142" s="180" t="e">
        <f t="shared" si="78"/>
        <v>#N/A</v>
      </c>
      <c r="T142" s="180">
        <f t="shared" si="68"/>
        <v>7.7628287209136433</v>
      </c>
      <c r="U142" s="180">
        <f t="shared" si="69"/>
        <v>50.696436450306159</v>
      </c>
      <c r="V142" s="180">
        <f t="shared" si="79"/>
        <v>-129.30356354969385</v>
      </c>
      <c r="W142" s="180" t="e">
        <f t="shared" si="70"/>
        <v>#N/A</v>
      </c>
      <c r="X142" t="e">
        <f t="shared" si="71"/>
        <v>#N/A</v>
      </c>
      <c r="Y142" t="e">
        <f t="shared" si="72"/>
        <v>#N/A</v>
      </c>
      <c r="Z142" t="e">
        <f t="shared" si="73"/>
        <v>#N/A</v>
      </c>
      <c r="AA142" t="e">
        <f t="shared" si="74"/>
        <v>#N/A</v>
      </c>
      <c r="AB142" t="e">
        <f t="shared" si="75"/>
        <v>#N/A</v>
      </c>
      <c r="AC142" s="14" t="e">
        <f t="shared" si="76"/>
        <v>#N/A</v>
      </c>
    </row>
    <row r="143" spans="16:29" x14ac:dyDescent="0.2">
      <c r="P143" s="172">
        <f t="shared" si="81"/>
        <v>12.699999999999971</v>
      </c>
      <c r="Q143" s="16">
        <f t="shared" si="77"/>
        <v>12.419999999999982</v>
      </c>
      <c r="R143" s="180">
        <f t="shared" si="67"/>
        <v>-14.280791072710006</v>
      </c>
      <c r="S143" s="180" t="e">
        <f t="shared" si="78"/>
        <v>#N/A</v>
      </c>
      <c r="T143" s="180">
        <f t="shared" si="68"/>
        <v>7.8628287209136429</v>
      </c>
      <c r="U143" s="180">
        <f t="shared" si="69"/>
        <v>50.095198883818973</v>
      </c>
      <c r="V143" s="180">
        <f t="shared" si="79"/>
        <v>-129.90480111618103</v>
      </c>
      <c r="W143" s="180" t="e">
        <f t="shared" si="70"/>
        <v>#N/A</v>
      </c>
      <c r="X143" t="e">
        <f t="shared" si="71"/>
        <v>#N/A</v>
      </c>
      <c r="Y143" t="e">
        <f t="shared" si="72"/>
        <v>#N/A</v>
      </c>
      <c r="Z143" t="e">
        <f t="shared" si="73"/>
        <v>#N/A</v>
      </c>
      <c r="AA143" t="e">
        <f t="shared" si="74"/>
        <v>#N/A</v>
      </c>
      <c r="AB143" t="e">
        <f t="shared" si="75"/>
        <v>#N/A</v>
      </c>
      <c r="AC143" s="14" t="e">
        <f t="shared" si="76"/>
        <v>#N/A</v>
      </c>
    </row>
    <row r="144" spans="16:29" x14ac:dyDescent="0.2">
      <c r="P144" s="172">
        <f t="shared" si="81"/>
        <v>12.799999999999971</v>
      </c>
      <c r="Q144" s="16">
        <f t="shared" si="77"/>
        <v>12.479999999999983</v>
      </c>
      <c r="R144" s="180">
        <f t="shared" si="67"/>
        <v>-15.389829500200083</v>
      </c>
      <c r="S144" s="180" t="e">
        <f t="shared" si="78"/>
        <v>#N/A</v>
      </c>
      <c r="T144" s="180">
        <f t="shared" si="68"/>
        <v>7.9628287209136426</v>
      </c>
      <c r="U144" s="180">
        <f t="shared" si="69"/>
        <v>49.471638512942938</v>
      </c>
      <c r="V144" s="180">
        <f t="shared" si="79"/>
        <v>-130.52836148705705</v>
      </c>
      <c r="W144" s="180" t="e">
        <f t="shared" si="70"/>
        <v>#N/A</v>
      </c>
      <c r="X144" t="e">
        <f t="shared" si="71"/>
        <v>#N/A</v>
      </c>
      <c r="Y144" t="e">
        <f t="shared" si="72"/>
        <v>#N/A</v>
      </c>
      <c r="Z144" t="e">
        <f t="shared" si="73"/>
        <v>#N/A</v>
      </c>
      <c r="AA144" t="e">
        <f t="shared" si="74"/>
        <v>#N/A</v>
      </c>
      <c r="AB144" t="e">
        <f t="shared" si="75"/>
        <v>#N/A</v>
      </c>
      <c r="AC144" s="14" t="e">
        <f t="shared" si="76"/>
        <v>#N/A</v>
      </c>
    </row>
    <row r="145" spans="16:29" x14ac:dyDescent="0.2">
      <c r="P145" s="172">
        <f t="shared" si="81"/>
        <v>12.89999999999997</v>
      </c>
      <c r="Q145" s="16">
        <f t="shared" si="77"/>
        <v>12.539999999999981</v>
      </c>
      <c r="R145" s="180">
        <f t="shared" si="67"/>
        <v>-16.488407704347079</v>
      </c>
      <c r="S145" s="180" t="e">
        <f t="shared" si="78"/>
        <v>#N/A</v>
      </c>
      <c r="T145" s="180">
        <f t="shared" si="68"/>
        <v>8.0628287209136431</v>
      </c>
      <c r="U145" s="180">
        <f t="shared" si="69"/>
        <v>48.825148393890686</v>
      </c>
      <c r="V145" s="180">
        <f t="shared" si="79"/>
        <v>-131.17485160610931</v>
      </c>
      <c r="W145" s="180" t="e">
        <f t="shared" si="70"/>
        <v>#N/A</v>
      </c>
      <c r="X145" t="e">
        <f t="shared" si="71"/>
        <v>#N/A</v>
      </c>
      <c r="Y145" t="e">
        <f t="shared" si="72"/>
        <v>#N/A</v>
      </c>
      <c r="Z145" t="e">
        <f t="shared" si="73"/>
        <v>#N/A</v>
      </c>
      <c r="AA145" t="e">
        <f t="shared" si="74"/>
        <v>#N/A</v>
      </c>
      <c r="AB145" t="e">
        <f t="shared" si="75"/>
        <v>#N/A</v>
      </c>
      <c r="AC145" s="14" t="e">
        <f t="shared" si="76"/>
        <v>#N/A</v>
      </c>
    </row>
    <row r="146" spans="16:29" x14ac:dyDescent="0.2">
      <c r="P146" s="172">
        <f t="shared" si="81"/>
        <v>12.99999999999997</v>
      </c>
      <c r="Q146" s="16">
        <f t="shared" si="77"/>
        <v>13.599999999999982</v>
      </c>
      <c r="R146" s="180">
        <f t="shared" si="67"/>
        <v>-17.576000381936556</v>
      </c>
      <c r="S146" s="180" t="e">
        <f t="shared" si="78"/>
        <v>#N/A</v>
      </c>
      <c r="T146" s="180">
        <f t="shared" si="68"/>
        <v>8.162828720913641</v>
      </c>
      <c r="U146" s="180">
        <f t="shared" si="69"/>
        <v>48.155098259486572</v>
      </c>
      <c r="V146" s="180">
        <f t="shared" si="79"/>
        <v>-131.84490174051342</v>
      </c>
      <c r="W146" s="180" t="e">
        <f t="shared" si="70"/>
        <v>#N/A</v>
      </c>
      <c r="X146" t="e">
        <f t="shared" si="71"/>
        <v>#N/A</v>
      </c>
      <c r="Y146" t="e">
        <f t="shared" si="72"/>
        <v>#N/A</v>
      </c>
      <c r="Z146" t="e">
        <f t="shared" si="73"/>
        <v>#N/A</v>
      </c>
      <c r="AA146" t="e">
        <f t="shared" si="74"/>
        <v>#N/A</v>
      </c>
      <c r="AB146" t="e">
        <f t="shared" si="75"/>
        <v>#N/A</v>
      </c>
      <c r="AC146" s="14" t="e">
        <f t="shared" si="76"/>
        <v>#N/A</v>
      </c>
    </row>
    <row r="147" spans="16:29" x14ac:dyDescent="0.2">
      <c r="P147" s="172">
        <f t="shared" si="81"/>
        <v>13.099999999999969</v>
      </c>
      <c r="Q147" s="16">
        <f t="shared" si="77"/>
        <v>13.059999999999981</v>
      </c>
      <c r="R147" s="180">
        <f t="shared" si="67"/>
        <v>-18.65205748224221</v>
      </c>
      <c r="S147" s="180" t="e">
        <f t="shared" si="78"/>
        <v>#N/A</v>
      </c>
      <c r="T147" s="180">
        <f t="shared" si="68"/>
        <v>8.2628287209136388</v>
      </c>
      <c r="U147" s="180">
        <f t="shared" si="69"/>
        <v>47.460835934585958</v>
      </c>
      <c r="V147" s="180">
        <f t="shared" si="79"/>
        <v>-132.53916406541404</v>
      </c>
      <c r="W147" s="180" t="e">
        <f t="shared" si="70"/>
        <v>#N/A</v>
      </c>
      <c r="X147" t="e">
        <f t="shared" si="71"/>
        <v>#N/A</v>
      </c>
      <c r="Y147" t="e">
        <f t="shared" si="72"/>
        <v>#N/A</v>
      </c>
      <c r="Z147" t="e">
        <f t="shared" si="73"/>
        <v>#N/A</v>
      </c>
      <c r="AA147" t="e">
        <f t="shared" si="74"/>
        <v>#N/A</v>
      </c>
      <c r="AB147" t="e">
        <f t="shared" si="75"/>
        <v>#N/A</v>
      </c>
      <c r="AC147" s="14" t="e">
        <f t="shared" si="76"/>
        <v>#N/A</v>
      </c>
    </row>
    <row r="148" spans="16:29" x14ac:dyDescent="0.2">
      <c r="P148" s="172">
        <f t="shared" si="81"/>
        <v>13.199999999999969</v>
      </c>
      <c r="Q148" s="16">
        <f t="shared" si="77"/>
        <v>13.119999999999981</v>
      </c>
      <c r="R148" s="180">
        <f t="shared" si="67"/>
        <v>-19.716003057370905</v>
      </c>
      <c r="S148" s="180" t="e">
        <f t="shared" si="78"/>
        <v>#N/A</v>
      </c>
      <c r="T148" s="180">
        <f t="shared" si="68"/>
        <v>8.3628287209136403</v>
      </c>
      <c r="U148" s="180">
        <f t="shared" si="69"/>
        <v>46.741689057895215</v>
      </c>
      <c r="V148" s="180">
        <f t="shared" si="79"/>
        <v>-133.2583109421048</v>
      </c>
      <c r="W148" s="180" t="e">
        <f t="shared" si="70"/>
        <v>#N/A</v>
      </c>
      <c r="X148" t="e">
        <f t="shared" si="71"/>
        <v>#N/A</v>
      </c>
      <c r="Y148" t="e">
        <f t="shared" si="72"/>
        <v>#N/A</v>
      </c>
      <c r="Z148" t="e">
        <f t="shared" si="73"/>
        <v>#N/A</v>
      </c>
      <c r="AA148" t="e">
        <f t="shared" si="74"/>
        <v>#N/A</v>
      </c>
      <c r="AB148" t="e">
        <f t="shared" si="75"/>
        <v>#N/A</v>
      </c>
      <c r="AC148" s="14" t="e">
        <f t="shared" si="76"/>
        <v>#N/A</v>
      </c>
    </row>
    <row r="149" spans="16:29" x14ac:dyDescent="0.2">
      <c r="P149" s="172">
        <f t="shared" si="81"/>
        <v>13.299999999999969</v>
      </c>
      <c r="Q149" s="16">
        <f t="shared" si="77"/>
        <v>13.179999999999982</v>
      </c>
      <c r="R149" s="180">
        <f t="shared" si="67"/>
        <v>-20.767234123601458</v>
      </c>
      <c r="S149" s="180" t="e">
        <f t="shared" si="78"/>
        <v>#N/A</v>
      </c>
      <c r="T149" s="180">
        <f t="shared" si="68"/>
        <v>8.4628287209136417</v>
      </c>
      <c r="U149" s="180">
        <f t="shared" si="69"/>
        <v>45.996967157393485</v>
      </c>
      <c r="V149" s="180">
        <f t="shared" si="79"/>
        <v>-134.0030328426065</v>
      </c>
      <c r="W149" s="180" t="e">
        <f t="shared" si="70"/>
        <v>#N/A</v>
      </c>
      <c r="X149" t="e">
        <f t="shared" si="71"/>
        <v>#N/A</v>
      </c>
      <c r="Y149" t="e">
        <f t="shared" si="72"/>
        <v>#N/A</v>
      </c>
      <c r="Z149" t="e">
        <f t="shared" si="73"/>
        <v>#N/A</v>
      </c>
      <c r="AA149" t="e">
        <f t="shared" si="74"/>
        <v>#N/A</v>
      </c>
      <c r="AB149" t="e">
        <f t="shared" si="75"/>
        <v>#N/A</v>
      </c>
      <c r="AC149" s="14" t="e">
        <f t="shared" si="76"/>
        <v>#N/A</v>
      </c>
    </row>
    <row r="150" spans="16:29" x14ac:dyDescent="0.2">
      <c r="P150" s="172">
        <f t="shared" si="81"/>
        <v>13.399999999999968</v>
      </c>
      <c r="Q150" s="16">
        <f t="shared" si="77"/>
        <v>13.239999999999981</v>
      </c>
      <c r="R150" s="180">
        <f t="shared" si="67"/>
        <v>-21.80511954629219</v>
      </c>
      <c r="S150" s="180" t="e">
        <f t="shared" si="78"/>
        <v>#N/A</v>
      </c>
      <c r="T150" s="180">
        <f t="shared" si="68"/>
        <v>8.5628287209136396</v>
      </c>
      <c r="U150" s="180">
        <f t="shared" si="69"/>
        <v>45.225964130337886</v>
      </c>
      <c r="V150" s="180">
        <f t="shared" si="79"/>
        <v>-134.7740358696621</v>
      </c>
      <c r="W150" s="180" t="e">
        <f t="shared" si="70"/>
        <v>#N/A</v>
      </c>
      <c r="X150" t="e">
        <f t="shared" si="71"/>
        <v>#N/A</v>
      </c>
      <c r="Y150" t="e">
        <f t="shared" si="72"/>
        <v>#N/A</v>
      </c>
      <c r="Z150" t="e">
        <f t="shared" si="73"/>
        <v>#N/A</v>
      </c>
      <c r="AA150" t="e">
        <f t="shared" si="74"/>
        <v>#N/A</v>
      </c>
      <c r="AB150" t="e">
        <f t="shared" si="75"/>
        <v>#N/A</v>
      </c>
      <c r="AC150" s="14" t="e">
        <f t="shared" si="76"/>
        <v>#N/A</v>
      </c>
    </row>
    <row r="151" spans="16:29" x14ac:dyDescent="0.2">
      <c r="P151" s="172">
        <f t="shared" si="81"/>
        <v>13.499999999999968</v>
      </c>
      <c r="Q151" s="16">
        <f t="shared" si="77"/>
        <v>13.299999999999981</v>
      </c>
      <c r="R151" s="180">
        <f t="shared" si="67"/>
        <v>-22.828998963404018</v>
      </c>
      <c r="S151" s="180" t="e">
        <f t="shared" si="78"/>
        <v>#N/A</v>
      </c>
      <c r="T151" s="180">
        <f t="shared" si="68"/>
        <v>8.6628287209136374</v>
      </c>
      <c r="U151" s="180">
        <f t="shared" si="69"/>
        <v>44.427961182440875</v>
      </c>
      <c r="V151" s="180">
        <f t="shared" si="79"/>
        <v>-135.57203881755913</v>
      </c>
      <c r="W151" s="180" t="e">
        <f t="shared" si="70"/>
        <v>#N/A</v>
      </c>
      <c r="X151" t="e">
        <f t="shared" si="71"/>
        <v>#N/A</v>
      </c>
      <c r="Y151" t="e">
        <f t="shared" si="72"/>
        <v>#N/A</v>
      </c>
      <c r="Z151" t="e">
        <f t="shared" si="73"/>
        <v>#N/A</v>
      </c>
      <c r="AA151" t="e">
        <f t="shared" si="74"/>
        <v>#N/A</v>
      </c>
      <c r="AB151" t="e">
        <f t="shared" si="75"/>
        <v>#N/A</v>
      </c>
      <c r="AC151" s="14" t="e">
        <f t="shared" si="76"/>
        <v>#N/A</v>
      </c>
    </row>
    <row r="152" spans="16:29" x14ac:dyDescent="0.2">
      <c r="P152" s="172">
        <f t="shared" si="81"/>
        <v>13.599999999999968</v>
      </c>
      <c r="Q152" s="16">
        <f t="shared" si="77"/>
        <v>13.35999999999998</v>
      </c>
      <c r="R152" s="180">
        <f t="shared" si="67"/>
        <v>-23.838181765440805</v>
      </c>
      <c r="S152" s="180" t="e">
        <f t="shared" si="78"/>
        <v>#N/A</v>
      </c>
      <c r="T152" s="180">
        <f t="shared" si="68"/>
        <v>8.7628287209136388</v>
      </c>
      <c r="U152" s="180">
        <f t="shared" si="69"/>
        <v>43.602230284059353</v>
      </c>
      <c r="V152" s="180">
        <f t="shared" si="79"/>
        <v>-136.39776971594065</v>
      </c>
      <c r="W152" s="180" t="e">
        <f t="shared" si="70"/>
        <v>#N/A</v>
      </c>
      <c r="X152" t="e">
        <f t="shared" si="71"/>
        <v>#N/A</v>
      </c>
      <c r="Y152" t="e">
        <f t="shared" si="72"/>
        <v>#N/A</v>
      </c>
      <c r="Z152" t="e">
        <f t="shared" si="73"/>
        <v>#N/A</v>
      </c>
      <c r="AA152" t="e">
        <f t="shared" si="74"/>
        <v>#N/A</v>
      </c>
      <c r="AB152" t="e">
        <f t="shared" si="75"/>
        <v>#N/A</v>
      </c>
      <c r="AC152" s="14" t="e">
        <f t="shared" si="76"/>
        <v>#N/A</v>
      </c>
    </row>
    <row r="153" spans="16:29" x14ac:dyDescent="0.2">
      <c r="P153" s="172">
        <f t="shared" si="81"/>
        <v>13.699999999999967</v>
      </c>
      <c r="Q153" s="16">
        <f t="shared" si="77"/>
        <v>13.41999999999998</v>
      </c>
      <c r="R153" s="180">
        <f t="shared" si="67"/>
        <v>-24.831946152650389</v>
      </c>
      <c r="S153" s="180" t="e">
        <f t="shared" si="78"/>
        <v>#N/A</v>
      </c>
      <c r="T153" s="180">
        <f t="shared" si="68"/>
        <v>8.8628287209136403</v>
      </c>
      <c r="U153" s="180">
        <f t="shared" si="69"/>
        <v>42.748038203899533</v>
      </c>
      <c r="V153" s="180">
        <f t="shared" si="79"/>
        <v>-137.25196179610046</v>
      </c>
      <c r="W153" s="180" t="e">
        <f t="shared" si="70"/>
        <v>#N/A</v>
      </c>
      <c r="X153" t="e">
        <f t="shared" si="71"/>
        <v>#N/A</v>
      </c>
      <c r="Y153" t="e">
        <f t="shared" si="72"/>
        <v>#N/A</v>
      </c>
      <c r="Z153" t="e">
        <f t="shared" si="73"/>
        <v>#N/A</v>
      </c>
      <c r="AA153" t="e">
        <f t="shared" si="74"/>
        <v>#N/A</v>
      </c>
      <c r="AB153" t="e">
        <f t="shared" si="75"/>
        <v>#N/A</v>
      </c>
      <c r="AC153" s="14" t="e">
        <f t="shared" si="76"/>
        <v>#N/A</v>
      </c>
    </row>
    <row r="154" spans="16:29" x14ac:dyDescent="0.2">
      <c r="P154" s="172">
        <f t="shared" si="81"/>
        <v>13.799999999999967</v>
      </c>
      <c r="Q154" s="16">
        <f t="shared" si="77"/>
        <v>13.479999999999981</v>
      </c>
      <c r="R154" s="180">
        <f t="shared" si="67"/>
        <v>-25.809538293650398</v>
      </c>
      <c r="S154" s="180" t="e">
        <f t="shared" si="78"/>
        <v>#N/A</v>
      </c>
      <c r="T154" s="180">
        <f t="shared" si="68"/>
        <v>8.9628287209136381</v>
      </c>
      <c r="U154" s="180">
        <f t="shared" si="69"/>
        <v>41.86465118253215</v>
      </c>
      <c r="V154" s="180">
        <f t="shared" si="79"/>
        <v>-138.13534881746784</v>
      </c>
      <c r="W154" s="180" t="e">
        <f t="shared" si="70"/>
        <v>#N/A</v>
      </c>
      <c r="X154" t="e">
        <f t="shared" si="71"/>
        <v>#N/A</v>
      </c>
      <c r="Y154" t="e">
        <f t="shared" si="72"/>
        <v>#N/A</v>
      </c>
      <c r="Z154" t="e">
        <f t="shared" si="73"/>
        <v>#N/A</v>
      </c>
      <c r="AA154" t="e">
        <f t="shared" si="74"/>
        <v>#N/A</v>
      </c>
      <c r="AB154" t="e">
        <f t="shared" si="75"/>
        <v>#N/A</v>
      </c>
      <c r="AC154" s="14" t="e">
        <f t="shared" si="76"/>
        <v>#N/A</v>
      </c>
    </row>
    <row r="155" spans="16:29" x14ac:dyDescent="0.2">
      <c r="P155" s="172">
        <f t="shared" si="81"/>
        <v>13.899999999999967</v>
      </c>
      <c r="Q155" s="16">
        <f t="shared" si="77"/>
        <v>13.53999999999998</v>
      </c>
      <c r="R155" s="180">
        <f t="shared" si="67"/>
        <v>-26.770171613217755</v>
      </c>
      <c r="S155" s="180" t="e">
        <f t="shared" si="78"/>
        <v>#N/A</v>
      </c>
      <c r="T155" s="180">
        <f t="shared" si="68"/>
        <v>9.062828720913636</v>
      </c>
      <c r="U155" s="180">
        <f t="shared" si="69"/>
        <v>40.951340308585863</v>
      </c>
      <c r="V155" s="180">
        <f t="shared" si="79"/>
        <v>-139.04865969141414</v>
      </c>
      <c r="W155" s="180" t="e">
        <f t="shared" si="70"/>
        <v>#N/A</v>
      </c>
      <c r="X155" t="e">
        <f t="shared" si="71"/>
        <v>#N/A</v>
      </c>
      <c r="Y155" t="e">
        <f t="shared" si="72"/>
        <v>#N/A</v>
      </c>
      <c r="Z155" t="e">
        <f t="shared" si="73"/>
        <v>#N/A</v>
      </c>
      <c r="AA155" t="e">
        <f t="shared" si="74"/>
        <v>#N/A</v>
      </c>
      <c r="AB155" t="e">
        <f t="shared" si="75"/>
        <v>#N/A</v>
      </c>
      <c r="AC155" s="14" t="e">
        <f t="shared" si="76"/>
        <v>#N/A</v>
      </c>
    </row>
    <row r="156" spans="16:29" x14ac:dyDescent="0.2">
      <c r="P156" s="172">
        <f t="shared" si="81"/>
        <v>13.999999999999966</v>
      </c>
      <c r="Q156" s="16">
        <f t="shared" si="77"/>
        <v>14.59999999999998</v>
      </c>
      <c r="R156" s="180">
        <f t="shared" si="67"/>
        <v>-27.713026240771931</v>
      </c>
      <c r="S156" s="180" t="e">
        <f t="shared" si="78"/>
        <v>#N/A</v>
      </c>
      <c r="T156" s="180">
        <f t="shared" si="68"/>
        <v>9.1628287209136374</v>
      </c>
      <c r="U156" s="180">
        <f t="shared" si="69"/>
        <v>40.007387659430684</v>
      </c>
      <c r="V156" s="180">
        <f t="shared" si="79"/>
        <v>-139.99261234056931</v>
      </c>
      <c r="W156" s="180" t="e">
        <f t="shared" si="70"/>
        <v>#N/A</v>
      </c>
      <c r="X156" t="e">
        <f t="shared" si="71"/>
        <v>#N/A</v>
      </c>
      <c r="Y156" t="e">
        <f t="shared" si="72"/>
        <v>#N/A</v>
      </c>
      <c r="Z156" t="e">
        <f t="shared" si="73"/>
        <v>#N/A</v>
      </c>
      <c r="AA156" t="e">
        <f t="shared" si="74"/>
        <v>#N/A</v>
      </c>
      <c r="AB156" t="e">
        <f t="shared" si="75"/>
        <v>#N/A</v>
      </c>
      <c r="AC156" s="14" t="e">
        <f t="shared" si="76"/>
        <v>#N/A</v>
      </c>
    </row>
    <row r="157" spans="16:29" x14ac:dyDescent="0.2">
      <c r="P157" s="172">
        <f t="shared" si="81"/>
        <v>14.099999999999966</v>
      </c>
      <c r="Q157" s="16">
        <f t="shared" si="77"/>
        <v>14.059999999999979</v>
      </c>
      <c r="R157" s="180">
        <f t="shared" si="67"/>
        <v>-28.637248655025235</v>
      </c>
      <c r="S157" s="180" t="e">
        <f t="shared" si="78"/>
        <v>#N/A</v>
      </c>
      <c r="T157" s="180">
        <f t="shared" si="68"/>
        <v>9.2628287209136388</v>
      </c>
      <c r="U157" s="180">
        <f t="shared" si="69"/>
        <v>39.032093265001357</v>
      </c>
      <c r="V157" s="180">
        <f t="shared" si="79"/>
        <v>-140.96790673499865</v>
      </c>
      <c r="W157" s="180" t="e">
        <f t="shared" si="70"/>
        <v>#N/A</v>
      </c>
      <c r="X157" t="e">
        <f t="shared" si="71"/>
        <v>#N/A</v>
      </c>
      <c r="Y157" t="e">
        <f t="shared" si="72"/>
        <v>#N/A</v>
      </c>
      <c r="Z157" t="e">
        <f t="shared" si="73"/>
        <v>#N/A</v>
      </c>
      <c r="AA157" t="e">
        <f t="shared" si="74"/>
        <v>#N/A</v>
      </c>
      <c r="AB157" t="e">
        <f t="shared" si="75"/>
        <v>#N/A</v>
      </c>
      <c r="AC157" s="14" t="e">
        <f t="shared" si="76"/>
        <v>#N/A</v>
      </c>
    </row>
    <row r="158" spans="16:29" x14ac:dyDescent="0.2">
      <c r="P158" s="172">
        <f>P157+0.1</f>
        <v>14.199999999999966</v>
      </c>
      <c r="Q158" s="16">
        <f t="shared" si="77"/>
        <v>14.11999999999998</v>
      </c>
      <c r="R158" s="180">
        <f t="shared" si="67"/>
        <v>-29.541951564276339</v>
      </c>
      <c r="S158" s="180" t="e">
        <f t="shared" si="78"/>
        <v>#N/A</v>
      </c>
      <c r="T158" s="180">
        <f t="shared" si="68"/>
        <v>9.3628287209136367</v>
      </c>
      <c r="U158" s="180">
        <f t="shared" si="69"/>
        <v>38.024782947606717</v>
      </c>
      <c r="V158" s="180">
        <f t="shared" si="79"/>
        <v>-141.97521705239328</v>
      </c>
      <c r="W158" s="180" t="e">
        <f t="shared" si="70"/>
        <v>#N/A</v>
      </c>
      <c r="X158" t="e">
        <f t="shared" si="71"/>
        <v>#N/A</v>
      </c>
      <c r="Y158" t="e">
        <f t="shared" si="72"/>
        <v>#N/A</v>
      </c>
      <c r="Z158" t="e">
        <f t="shared" si="73"/>
        <v>#N/A</v>
      </c>
      <c r="AA158" t="e">
        <f t="shared" si="74"/>
        <v>#N/A</v>
      </c>
      <c r="AB158" t="e">
        <f t="shared" si="75"/>
        <v>#N/A</v>
      </c>
      <c r="AC158" s="14" t="e">
        <f t="shared" si="76"/>
        <v>#N/A</v>
      </c>
    </row>
    <row r="159" spans="16:29" x14ac:dyDescent="0.2">
      <c r="P159" s="172">
        <f t="shared" ref="P159:P165" si="82">P158+0.1</f>
        <v>14.299999999999965</v>
      </c>
      <c r="Q159" s="16">
        <f t="shared" si="77"/>
        <v>14.179999999999978</v>
      </c>
      <c r="R159" s="180">
        <f t="shared" si="67"/>
        <v>-30.426214065761066</v>
      </c>
      <c r="S159" s="180" t="e">
        <f t="shared" si="78"/>
        <v>#N/A</v>
      </c>
      <c r="T159" s="180">
        <f t="shared" si="68"/>
        <v>9.4628287209136346</v>
      </c>
      <c r="U159" s="180">
        <f t="shared" si="69"/>
        <v>36.984817081532391</v>
      </c>
      <c r="V159" s="180">
        <f t="shared" si="79"/>
        <v>-143.01518291846762</v>
      </c>
      <c r="W159" s="180" t="e">
        <f t="shared" si="70"/>
        <v>#N/A</v>
      </c>
      <c r="X159" t="e">
        <f t="shared" si="71"/>
        <v>#N/A</v>
      </c>
      <c r="Y159" t="e">
        <f t="shared" si="72"/>
        <v>#N/A</v>
      </c>
      <c r="Z159" t="e">
        <f t="shared" si="73"/>
        <v>#N/A</v>
      </c>
      <c r="AA159" t="e">
        <f t="shared" si="74"/>
        <v>#N/A</v>
      </c>
      <c r="AB159" t="e">
        <f t="shared" si="75"/>
        <v>#N/A</v>
      </c>
      <c r="AC159" s="14" t="e">
        <f t="shared" si="76"/>
        <v>#N/A</v>
      </c>
    </row>
    <row r="160" spans="16:29" x14ac:dyDescent="0.2">
      <c r="P160" s="172">
        <f t="shared" si="82"/>
        <v>14.399999999999965</v>
      </c>
      <c r="Q160" s="16">
        <f t="shared" si="77"/>
        <v>14.239999999999979</v>
      </c>
      <c r="R160" s="180">
        <f t="shared" si="67"/>
        <v>-31.289082131186547</v>
      </c>
      <c r="S160" s="180" t="e">
        <f t="shared" si="78"/>
        <v>#N/A</v>
      </c>
      <c r="T160" s="180">
        <f t="shared" si="68"/>
        <v>9.562828720913636</v>
      </c>
      <c r="U160" s="180">
        <f t="shared" si="69"/>
        <v>35.911600303340926</v>
      </c>
      <c r="V160" s="180">
        <f t="shared" si="79"/>
        <v>-144.08839969665908</v>
      </c>
      <c r="W160" s="180" t="e">
        <f t="shared" si="70"/>
        <v>#N/A</v>
      </c>
      <c r="X160" t="e">
        <f t="shared" si="71"/>
        <v>#N/A</v>
      </c>
      <c r="Y160" t="e">
        <f t="shared" si="72"/>
        <v>#N/A</v>
      </c>
      <c r="Z160" t="e">
        <f t="shared" si="73"/>
        <v>#N/A</v>
      </c>
      <c r="AA160" t="e">
        <f t="shared" si="74"/>
        <v>#N/A</v>
      </c>
      <c r="AB160" t="e">
        <f t="shared" si="75"/>
        <v>#N/A</v>
      </c>
      <c r="AC160" s="14" t="e">
        <f t="shared" si="76"/>
        <v>#N/A</v>
      </c>
    </row>
    <row r="161" spans="16:29" x14ac:dyDescent="0.2">
      <c r="P161" s="172">
        <f t="shared" si="82"/>
        <v>14.499999999999964</v>
      </c>
      <c r="Q161" s="16">
        <f t="shared" si="77"/>
        <v>14.299999999999979</v>
      </c>
      <c r="R161" s="180">
        <f t="shared" si="67"/>
        <v>-32.129569468851294</v>
      </c>
      <c r="S161" s="180" t="e">
        <f t="shared" si="78"/>
        <v>#N/A</v>
      </c>
      <c r="T161" s="180">
        <f t="shared" si="68"/>
        <v>9.6628287209136374</v>
      </c>
      <c r="U161" s="180">
        <f t="shared" si="69"/>
        <v>34.804592186373306</v>
      </c>
      <c r="V161" s="180">
        <f t="shared" si="79"/>
        <v>-145.1954078136267</v>
      </c>
      <c r="W161" s="180" t="e">
        <f t="shared" si="70"/>
        <v>#N/A</v>
      </c>
      <c r="X161" t="e">
        <f t="shared" si="71"/>
        <v>#N/A</v>
      </c>
      <c r="Y161" t="e">
        <f t="shared" si="72"/>
        <v>#N/A</v>
      </c>
      <c r="Z161" t="e">
        <f t="shared" si="73"/>
        <v>#N/A</v>
      </c>
      <c r="AA161" t="e">
        <f t="shared" si="74"/>
        <v>#N/A</v>
      </c>
      <c r="AB161" t="e">
        <f t="shared" si="75"/>
        <v>#N/A</v>
      </c>
      <c r="AC161" s="14" t="e">
        <f t="shared" si="76"/>
        <v>#N/A</v>
      </c>
    </row>
    <row r="162" spans="16:29" x14ac:dyDescent="0.2">
      <c r="P162" s="172">
        <f t="shared" si="82"/>
        <v>14.599999999999964</v>
      </c>
      <c r="Q162" s="16">
        <f t="shared" si="77"/>
        <v>14.359999999999978</v>
      </c>
      <c r="R162" s="180">
        <f t="shared" si="67"/>
        <v>-32.946658815346503</v>
      </c>
      <c r="S162" s="180" t="e">
        <f t="shared" si="78"/>
        <v>#N/A</v>
      </c>
      <c r="T162" s="180">
        <f t="shared" si="68"/>
        <v>9.7628287209136353</v>
      </c>
      <c r="U162" s="180">
        <f t="shared" si="69"/>
        <v>33.663318870448627</v>
      </c>
      <c r="V162" s="180">
        <f t="shared" si="79"/>
        <v>-146.33668112955138</v>
      </c>
      <c r="W162" s="180" t="e">
        <f t="shared" si="70"/>
        <v>#N/A</v>
      </c>
      <c r="X162" t="e">
        <f t="shared" si="71"/>
        <v>#N/A</v>
      </c>
      <c r="Y162" t="e">
        <f t="shared" si="72"/>
        <v>#N/A</v>
      </c>
      <c r="Z162" t="e">
        <f t="shared" si="73"/>
        <v>#N/A</v>
      </c>
      <c r="AA162" t="e">
        <f t="shared" si="74"/>
        <v>#N/A</v>
      </c>
      <c r="AB162" t="e">
        <f t="shared" si="75"/>
        <v>#N/A</v>
      </c>
      <c r="AC162" s="14" t="e">
        <f t="shared" si="76"/>
        <v>#N/A</v>
      </c>
    </row>
    <row r="163" spans="16:29" x14ac:dyDescent="0.2">
      <c r="P163" s="172">
        <f t="shared" si="82"/>
        <v>14.699999999999964</v>
      </c>
      <c r="Q163" s="16">
        <f t="shared" si="77"/>
        <v>14.419999999999979</v>
      </c>
      <c r="R163" s="180">
        <f t="shared" si="67"/>
        <v>-33.739303711439049</v>
      </c>
      <c r="S163" s="180" t="e">
        <f t="shared" si="78"/>
        <v>#N/A</v>
      </c>
      <c r="T163" s="180">
        <f t="shared" si="68"/>
        <v>9.8628287209136332</v>
      </c>
      <c r="U163" s="180">
        <f t="shared" si="69"/>
        <v>32.487385609633677</v>
      </c>
      <c r="V163" s="180">
        <f t="shared" si="79"/>
        <v>-147.51261439036631</v>
      </c>
      <c r="W163" s="180" t="e">
        <f t="shared" si="70"/>
        <v>#N/A</v>
      </c>
      <c r="X163" t="e">
        <f t="shared" si="71"/>
        <v>#N/A</v>
      </c>
      <c r="Y163" t="e">
        <f t="shared" si="72"/>
        <v>#N/A</v>
      </c>
      <c r="Z163" t="e">
        <f t="shared" si="73"/>
        <v>#N/A</v>
      </c>
      <c r="AA163" t="e">
        <f t="shared" si="74"/>
        <v>#N/A</v>
      </c>
      <c r="AB163" t="e">
        <f t="shared" si="75"/>
        <v>#N/A</v>
      </c>
      <c r="AC163" s="14" t="e">
        <f t="shared" si="76"/>
        <v>#N/A</v>
      </c>
    </row>
    <row r="164" spans="16:29" x14ac:dyDescent="0.2">
      <c r="P164" s="172">
        <f t="shared" si="82"/>
        <v>14.799999999999963</v>
      </c>
      <c r="Q164" s="16">
        <f t="shared" si="77"/>
        <v>14.479999999999977</v>
      </c>
      <c r="R164" s="180">
        <f t="shared" si="67"/>
        <v>-34.506430817013772</v>
      </c>
      <c r="S164" s="180" t="e">
        <f t="shared" si="78"/>
        <v>#N/A</v>
      </c>
      <c r="T164" s="180">
        <f t="shared" si="68"/>
        <v>9.9628287209136346</v>
      </c>
      <c r="U164" s="180">
        <f t="shared" si="69"/>
        <v>31.276490166845196</v>
      </c>
      <c r="V164" s="180">
        <f t="shared" si="79"/>
        <v>-148.72350983315479</v>
      </c>
      <c r="W164" s="180" t="e">
        <f t="shared" si="70"/>
        <v>#N/A</v>
      </c>
      <c r="X164" t="e">
        <f t="shared" si="71"/>
        <v>#N/A</v>
      </c>
      <c r="Y164" t="e">
        <f t="shared" si="72"/>
        <v>#N/A</v>
      </c>
      <c r="Z164" t="e">
        <f t="shared" si="73"/>
        <v>#N/A</v>
      </c>
      <c r="AA164" t="e">
        <f t="shared" si="74"/>
        <v>#N/A</v>
      </c>
      <c r="AB164" t="e">
        <f t="shared" si="75"/>
        <v>#N/A</v>
      </c>
      <c r="AC164" s="14" t="e">
        <f t="shared" si="76"/>
        <v>#N/A</v>
      </c>
    </row>
    <row r="165" spans="16:29" x14ac:dyDescent="0.2">
      <c r="P165" s="172">
        <f t="shared" si="82"/>
        <v>14.899999999999963</v>
      </c>
      <c r="Q165" s="16">
        <f t="shared" si="77"/>
        <v>14.539999999999978</v>
      </c>
      <c r="R165" s="180">
        <f t="shared" si="67"/>
        <v>-35.246942818519166</v>
      </c>
      <c r="S165" s="180" t="e">
        <f t="shared" si="78"/>
        <v>#N/A</v>
      </c>
      <c r="T165" s="180">
        <f t="shared" si="68"/>
        <v>10.062828720913636</v>
      </c>
      <c r="U165" s="180">
        <f t="shared" ref="U165:U166" si="83">180/PI()*ATAN2(TAN(RADIANS($B$22))*COS(RADIANS($B$24)) - SIN(RADIANS($B$24))*COS(RADIANS(15*T165)),SIN(RADIANS(15*T165)))</f>
        <v>30.030436943840794</v>
      </c>
      <c r="V165" s="180">
        <f t="shared" si="79"/>
        <v>-149.96956305615922</v>
      </c>
      <c r="W165" s="180" t="e">
        <f t="shared" si="70"/>
        <v>#N/A</v>
      </c>
      <c r="X165" t="e">
        <f t="shared" si="71"/>
        <v>#N/A</v>
      </c>
      <c r="Y165" t="e">
        <f t="shared" si="72"/>
        <v>#N/A</v>
      </c>
      <c r="Z165" t="e">
        <f t="shared" si="73"/>
        <v>#N/A</v>
      </c>
      <c r="AA165" t="e">
        <f t="shared" si="74"/>
        <v>#N/A</v>
      </c>
      <c r="AB165" t="e">
        <f t="shared" si="75"/>
        <v>#N/A</v>
      </c>
      <c r="AC165" s="14" t="e">
        <f t="shared" si="76"/>
        <v>#N/A</v>
      </c>
    </row>
    <row r="166" spans="16:29" ht="17" thickBot="1" x14ac:dyDescent="0.25">
      <c r="P166" s="173">
        <f>P165+0.1</f>
        <v>14.999999999999963</v>
      </c>
      <c r="Q166" s="43">
        <f t="shared" si="77"/>
        <v>15.599999999999978</v>
      </c>
      <c r="R166" s="170">
        <f t="shared" si="67"/>
        <v>-35.959721978805909</v>
      </c>
      <c r="S166" s="170" t="e">
        <f t="shared" si="78"/>
        <v>#N/A</v>
      </c>
      <c r="T166" s="170">
        <f t="shared" si="68"/>
        <v>10.162828720913634</v>
      </c>
      <c r="U166" s="170">
        <f t="shared" si="83"/>
        <v>28.749151689079056</v>
      </c>
      <c r="V166" s="180">
        <f t="shared" si="79"/>
        <v>-151.25084831092096</v>
      </c>
      <c r="W166" s="170" t="e">
        <f t="shared" si="70"/>
        <v>#N/A</v>
      </c>
      <c r="X166" s="9" t="e">
        <f t="shared" si="71"/>
        <v>#N/A</v>
      </c>
      <c r="Y166" s="9" t="e">
        <f t="shared" si="72"/>
        <v>#N/A</v>
      </c>
      <c r="Z166" s="9" t="e">
        <f t="shared" si="73"/>
        <v>#N/A</v>
      </c>
      <c r="AA166" s="9" t="e">
        <f t="shared" si="74"/>
        <v>#N/A</v>
      </c>
      <c r="AB166" s="9" t="e">
        <f t="shared" si="75"/>
        <v>#N/A</v>
      </c>
      <c r="AC166" s="15" t="e">
        <f t="shared" si="76"/>
        <v>#N/A</v>
      </c>
    </row>
  </sheetData>
  <mergeCells count="13">
    <mergeCell ref="AJ46:AL46"/>
    <mergeCell ref="AJ31:AL31"/>
    <mergeCell ref="AH4:AJ4"/>
    <mergeCell ref="AL14:AM14"/>
    <mergeCell ref="AH13:AJ13"/>
    <mergeCell ref="AH2:AJ2"/>
    <mergeCell ref="T2:Y2"/>
    <mergeCell ref="AJ30:AL30"/>
    <mergeCell ref="B3:C3"/>
    <mergeCell ref="W3:AC3"/>
    <mergeCell ref="AF14:AG14"/>
    <mergeCell ref="AH14:AI14"/>
    <mergeCell ref="AJ14:AK1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EA3C-D9A1-E540-8710-720F81D463BE}">
  <dimension ref="A1:AJ70"/>
  <sheetViews>
    <sheetView topLeftCell="I23" zoomScale="130" zoomScaleNormal="130" workbookViewId="0">
      <selection activeCell="N37" sqref="N37"/>
    </sheetView>
  </sheetViews>
  <sheetFormatPr baseColWidth="10" defaultRowHeight="16" x14ac:dyDescent="0.2"/>
  <cols>
    <col min="1" max="1" width="18.6640625" customWidth="1"/>
    <col min="4" max="4" width="12.5" customWidth="1"/>
    <col min="12" max="12" width="11.6640625" customWidth="1"/>
    <col min="13" max="13" width="8.83203125" customWidth="1"/>
    <col min="14" max="14" width="8" customWidth="1"/>
    <col min="15" max="15" width="8.5" customWidth="1"/>
    <col min="16" max="16" width="8.83203125" customWidth="1"/>
    <col min="17" max="18" width="8.1640625" customWidth="1"/>
    <col min="19" max="19" width="7.83203125" customWidth="1"/>
    <col min="20" max="20" width="7.1640625" customWidth="1"/>
    <col min="21" max="21" width="6" customWidth="1"/>
    <col min="22" max="22" width="6.5" customWidth="1"/>
    <col min="23" max="23" width="6.33203125" customWidth="1"/>
    <col min="24" max="24" width="6.5" customWidth="1"/>
    <col min="25" max="25" width="6.33203125" customWidth="1"/>
    <col min="26" max="28" width="6.5" customWidth="1"/>
    <col min="29" max="29" width="6.83203125" customWidth="1"/>
    <col min="30" max="30" width="6.33203125" customWidth="1"/>
    <col min="31" max="31" width="6" customWidth="1"/>
    <col min="32" max="32" width="6.1640625" customWidth="1"/>
    <col min="33" max="33" width="6" customWidth="1"/>
    <col min="34" max="34" width="6.33203125" customWidth="1"/>
    <col min="35" max="35" width="6.5" customWidth="1"/>
    <col min="36" max="36" width="7.5" customWidth="1"/>
  </cols>
  <sheetData>
    <row r="1" spans="1:21" ht="17" thickBot="1" x14ac:dyDescent="0.25"/>
    <row r="2" spans="1:21" ht="17" thickBot="1" x14ac:dyDescent="0.25">
      <c r="A2" s="280" t="s">
        <v>144</v>
      </c>
      <c r="B2" s="281"/>
      <c r="C2" s="282"/>
      <c r="Q2" s="291" t="s">
        <v>108</v>
      </c>
      <c r="R2" s="292"/>
      <c r="S2" s="293"/>
    </row>
    <row r="3" spans="1:21" ht="17" thickBot="1" x14ac:dyDescent="0.25">
      <c r="A3" s="6" t="s">
        <v>7</v>
      </c>
      <c r="B3" s="154">
        <f>32.7</f>
        <v>32.700000000000003</v>
      </c>
      <c r="C3" s="14" t="s">
        <v>4</v>
      </c>
      <c r="M3" s="291" t="s">
        <v>85</v>
      </c>
      <c r="N3" s="292"/>
      <c r="O3" s="292"/>
      <c r="P3" s="292"/>
      <c r="Q3" s="293"/>
      <c r="S3" s="355" t="s">
        <v>104</v>
      </c>
      <c r="T3" s="356"/>
      <c r="U3" s="357"/>
    </row>
    <row r="4" spans="1:21" x14ac:dyDescent="0.2">
      <c r="A4" s="6" t="s">
        <v>48</v>
      </c>
      <c r="B4" s="5">
        <f>-109.889</f>
        <v>-109.889</v>
      </c>
      <c r="C4" s="14" t="s">
        <v>53</v>
      </c>
      <c r="M4" s="12" t="s">
        <v>39</v>
      </c>
      <c r="N4" s="20" t="s">
        <v>31</v>
      </c>
      <c r="O4" s="20" t="s">
        <v>44</v>
      </c>
      <c r="P4" s="20" t="s">
        <v>45</v>
      </c>
      <c r="Q4" s="21" t="s">
        <v>65</v>
      </c>
      <c r="S4" s="23">
        <v>1</v>
      </c>
      <c r="T4" s="80">
        <v>88</v>
      </c>
      <c r="U4" s="82" t="str">
        <f t="shared" ref="U4:U16" si="0">IF(S4+$B$9&lt;0,MOD(S4+$B$9,12) &amp; " pm",MOD(S4+$B$9,12) &amp; " am")</f>
        <v>8 pm</v>
      </c>
    </row>
    <row r="5" spans="1:21" x14ac:dyDescent="0.2">
      <c r="A5" s="6"/>
      <c r="B5" s="44"/>
      <c r="C5" s="14"/>
      <c r="M5" s="13" t="s">
        <v>17</v>
      </c>
      <c r="N5" s="19" t="s">
        <v>10</v>
      </c>
      <c r="O5" s="19" t="s">
        <v>10</v>
      </c>
      <c r="P5" s="19" t="s">
        <v>10</v>
      </c>
      <c r="Q5" s="22" t="s">
        <v>10</v>
      </c>
      <c r="S5" s="24">
        <v>2</v>
      </c>
      <c r="T5" s="1">
        <v>88</v>
      </c>
      <c r="U5" s="25" t="str">
        <f t="shared" si="0"/>
        <v>9 pm</v>
      </c>
    </row>
    <row r="6" spans="1:21" x14ac:dyDescent="0.2">
      <c r="A6" s="6" t="s">
        <v>49</v>
      </c>
      <c r="B6" s="4">
        <f>Instruc!L7</f>
        <v>2</v>
      </c>
      <c r="C6" s="14"/>
      <c r="M6" s="24">
        <v>0</v>
      </c>
      <c r="N6" s="35">
        <f>IF(OR(MODS!W4="",MODS!Z4&lt;&gt;""),NA(),MODS!$B$7)</f>
        <v>1.5666666666666669</v>
      </c>
      <c r="O6" s="35">
        <f>IF(OR(LUCI!W4="",LUCI!Z4&lt;&gt;""),NA(),LUCI!$B$7)</f>
        <v>1.9666666666666668</v>
      </c>
      <c r="P6" s="35">
        <f>IF(OR(LBC!W4="",LBC!Z4&lt;&gt;""),NA(),LBC!$B$7)</f>
        <v>9</v>
      </c>
      <c r="Q6" s="47">
        <f>IF(OR(PEPSI!W4="",PEPSI!Z4&lt;&gt;""),NA(),PEPSI!$B$7)</f>
        <v>9.6666666666666679</v>
      </c>
      <c r="S6" s="24">
        <v>3</v>
      </c>
      <c r="T6" s="1">
        <v>88</v>
      </c>
      <c r="U6" s="25" t="str">
        <f t="shared" si="0"/>
        <v>10 pm</v>
      </c>
    </row>
    <row r="7" spans="1:21" x14ac:dyDescent="0.2">
      <c r="A7" s="6" t="s">
        <v>50</v>
      </c>
      <c r="B7" s="92">
        <f>Instruc!L8</f>
        <v>27</v>
      </c>
      <c r="C7" s="14" t="s">
        <v>10</v>
      </c>
      <c r="M7" s="24">
        <f>M6+1</f>
        <v>1</v>
      </c>
      <c r="N7" s="35">
        <f>IF(OR(MODS!W5="",MODS!Z5&lt;&gt;""),NA(),MODS!$B$7)</f>
        <v>1.5666666666666669</v>
      </c>
      <c r="O7" s="35" t="e">
        <f>IF(OR(LUCI!W5="",LUCI!Z5&lt;&gt;""),NA(),LUCI!$B$7)</f>
        <v>#N/A</v>
      </c>
      <c r="P7" s="35">
        <f>IF(OR(LBC!W5="",LBC!Z5&lt;&gt;""),NA(),LBC!$B$7)</f>
        <v>9</v>
      </c>
      <c r="Q7" s="47" t="e">
        <f>IF(OR(PEPSI!W5="",PEPSI!Z5&lt;&gt;""),NA(),PEPSI!$B$7)</f>
        <v>#N/A</v>
      </c>
      <c r="S7" s="24">
        <v>4</v>
      </c>
      <c r="T7" s="1">
        <v>88</v>
      </c>
      <c r="U7" s="25" t="str">
        <f t="shared" si="0"/>
        <v>11 pm</v>
      </c>
    </row>
    <row r="8" spans="1:21" x14ac:dyDescent="0.2">
      <c r="A8" s="6" t="s">
        <v>51</v>
      </c>
      <c r="B8" s="4">
        <f>Instruc!L9</f>
        <v>2025</v>
      </c>
      <c r="C8" s="14"/>
      <c r="M8" s="24">
        <f t="shared" ref="M8:M25" si="1">M7+1</f>
        <v>2</v>
      </c>
      <c r="N8" s="35">
        <f>IF(OR(MODS!W6="",MODS!Z6&lt;&gt;""),NA(),MODS!$B$7)</f>
        <v>1.5666666666666669</v>
      </c>
      <c r="O8" s="35" t="e">
        <f>IF(OR(LUCI!W6="",LUCI!Z6&lt;&gt;""),NA(),LUCI!$B$7)</f>
        <v>#N/A</v>
      </c>
      <c r="P8" s="35">
        <f>IF(OR(LBC!W6="",LBC!Z6&lt;&gt;""),NA(),LBC!$B$7)</f>
        <v>9</v>
      </c>
      <c r="Q8" s="47">
        <f>IF(OR(PEPSI!W6="",PEPSI!Z6&lt;&gt;""),NA(),PEPSI!$B$7)</f>
        <v>9.6666666666666679</v>
      </c>
      <c r="S8" s="24">
        <v>5</v>
      </c>
      <c r="T8" s="1">
        <v>88</v>
      </c>
      <c r="U8" s="25" t="str">
        <f t="shared" si="0"/>
        <v>0 am</v>
      </c>
    </row>
    <row r="9" spans="1:21" ht="17" thickBot="1" x14ac:dyDescent="0.25">
      <c r="A9" s="8" t="s">
        <v>103</v>
      </c>
      <c r="B9" s="45">
        <f>Instruc!L10</f>
        <v>-5</v>
      </c>
      <c r="C9" s="15" t="s">
        <v>105</v>
      </c>
      <c r="M9" s="24">
        <f t="shared" si="1"/>
        <v>3</v>
      </c>
      <c r="N9" s="35">
        <f>IF(OR(MODS!W7="",MODS!Z7&lt;&gt;""),NA(),MODS!$B$7)</f>
        <v>1.5666666666666669</v>
      </c>
      <c r="O9" s="35" t="e">
        <f>IF(OR(LUCI!W7="",LUCI!Z7&lt;&gt;""),NA(),LUCI!$B$7)</f>
        <v>#N/A</v>
      </c>
      <c r="P9" s="35">
        <f>IF(OR(LBC!W7="",LBC!Z7&lt;&gt;""),NA(),LBC!$B$7)</f>
        <v>9</v>
      </c>
      <c r="Q9" s="47">
        <f>IF(OR(PEPSI!W7="",PEPSI!Z7&lt;&gt;""),NA(),PEPSI!$B$7)</f>
        <v>9.6666666666666679</v>
      </c>
      <c r="S9" s="24">
        <v>6</v>
      </c>
      <c r="T9" s="1">
        <v>88</v>
      </c>
      <c r="U9" s="25" t="str">
        <f t="shared" si="0"/>
        <v>1 am</v>
      </c>
    </row>
    <row r="10" spans="1:21" ht="17" thickBot="1" x14ac:dyDescent="0.25">
      <c r="M10" s="24">
        <f t="shared" si="1"/>
        <v>4</v>
      </c>
      <c r="N10" s="35" t="e">
        <f>IF(OR(MODS!W8="",MODS!Z8&lt;&gt;""),NA(),MODS!$B$7)</f>
        <v>#N/A</v>
      </c>
      <c r="O10" s="35" t="e">
        <f>IF(OR(LUCI!W8="",LUCI!Z8&lt;&gt;""),NA(),LUCI!$B$7)</f>
        <v>#N/A</v>
      </c>
      <c r="P10" s="35">
        <f>IF(OR(LBC!W8="",LBC!Z8&lt;&gt;""),NA(),LBC!$B$7)</f>
        <v>9</v>
      </c>
      <c r="Q10" s="47">
        <f>IF(OR(PEPSI!W8="",PEPSI!Z8&lt;&gt;""),NA(),PEPSI!$B$7)</f>
        <v>9.6666666666666679</v>
      </c>
      <c r="S10" s="24">
        <v>7</v>
      </c>
      <c r="T10" s="1">
        <v>88</v>
      </c>
      <c r="U10" s="25" t="str">
        <f t="shared" si="0"/>
        <v>2 am</v>
      </c>
    </row>
    <row r="11" spans="1:21" x14ac:dyDescent="0.2">
      <c r="A11" s="304" t="s">
        <v>67</v>
      </c>
      <c r="B11" s="305"/>
      <c r="C11" s="306"/>
      <c r="D11" s="16"/>
      <c r="M11" s="24">
        <f t="shared" si="1"/>
        <v>5</v>
      </c>
      <c r="N11" s="35">
        <f>IF(OR(MODS!W9="",MODS!Z9&lt;&gt;""),NA(),MODS!$B$7)</f>
        <v>1.5666666666666669</v>
      </c>
      <c r="O11" s="35" t="e">
        <f>IF(OR(LUCI!W9="",LUCI!Z9&lt;&gt;""),NA(),LUCI!$B$7)</f>
        <v>#N/A</v>
      </c>
      <c r="P11" s="35">
        <f>IF(OR(LBC!W9="",LBC!Z9&lt;&gt;""),NA(),LBC!$B$7)</f>
        <v>9</v>
      </c>
      <c r="Q11" s="47">
        <f>IF(OR(PEPSI!W9="",PEPSI!Z9&lt;&gt;""),NA(),PEPSI!$B$7)</f>
        <v>9.6666666666666679</v>
      </c>
      <c r="S11" s="24">
        <v>8</v>
      </c>
      <c r="T11" s="1">
        <v>88</v>
      </c>
      <c r="U11" s="25" t="str">
        <f t="shared" si="0"/>
        <v>3 am</v>
      </c>
    </row>
    <row r="12" spans="1:21" x14ac:dyDescent="0.2">
      <c r="A12" s="6" t="s">
        <v>63</v>
      </c>
      <c r="B12">
        <f>DATEVALUE(B6 &amp; "/" &amp; B7 &amp; "/" &amp; B8) - DATEVALUE("1/1/2000") - 0.5</f>
        <v>9188.5</v>
      </c>
      <c r="C12" s="14" t="s">
        <v>52</v>
      </c>
      <c r="D12" s="16"/>
      <c r="M12" s="24">
        <f t="shared" si="1"/>
        <v>6</v>
      </c>
      <c r="N12" s="35">
        <f>IF(OR(MODS!W10="",MODS!Z10&lt;&gt;""),NA(),MODS!$B$7)</f>
        <v>1.5666666666666669</v>
      </c>
      <c r="O12" s="35" t="e">
        <f>IF(OR(LUCI!W10="",LUCI!Z10&lt;&gt;""),NA(),LUCI!$B$7)</f>
        <v>#N/A</v>
      </c>
      <c r="P12" s="35">
        <f>IF(OR(LBC!W10="",LBC!Z10&lt;&gt;""),NA(),LBC!$B$7)</f>
        <v>9</v>
      </c>
      <c r="Q12" s="47" t="e">
        <f>IF(OR(PEPSI!W10="",PEPSI!Z10&lt;&gt;""),NA(),PEPSI!$B$7)</f>
        <v>#N/A</v>
      </c>
      <c r="S12" s="24">
        <v>9</v>
      </c>
      <c r="T12" s="1">
        <v>88</v>
      </c>
      <c r="U12" s="25" t="str">
        <f t="shared" si="0"/>
        <v>4 am</v>
      </c>
    </row>
    <row r="13" spans="1:21" x14ac:dyDescent="0.2">
      <c r="A13" s="6" t="s">
        <v>54</v>
      </c>
      <c r="B13" s="16">
        <f>MOD(280.46 + B12*0.9856474,360)</f>
        <v>337.08113489999778</v>
      </c>
      <c r="C13" s="14" t="s">
        <v>4</v>
      </c>
      <c r="D13" s="16"/>
      <c r="M13" s="24">
        <f t="shared" si="1"/>
        <v>7</v>
      </c>
      <c r="N13" s="35">
        <f>IF(OR(MODS!W11="",MODS!Z11&lt;&gt;""),NA(),MODS!$B$7)</f>
        <v>1.5666666666666669</v>
      </c>
      <c r="O13" s="35" t="e">
        <f>IF(OR(LUCI!W11="",LUCI!Z11&lt;&gt;""),NA(),LUCI!$B$7)</f>
        <v>#N/A</v>
      </c>
      <c r="P13" s="35" t="e">
        <f>IF(OR(LBC!W11="",LBC!Z11&lt;&gt;""),NA(),LBC!$B$7)</f>
        <v>#N/A</v>
      </c>
      <c r="Q13" s="47" t="e">
        <f>IF(OR(PEPSI!W11="",PEPSI!Z11&lt;&gt;""),NA(),PEPSI!$B$7)</f>
        <v>#N/A</v>
      </c>
      <c r="S13" s="24">
        <v>10</v>
      </c>
      <c r="T13" s="1">
        <v>88</v>
      </c>
      <c r="U13" s="25" t="str">
        <f t="shared" si="0"/>
        <v>5 am</v>
      </c>
    </row>
    <row r="14" spans="1:21" x14ac:dyDescent="0.2">
      <c r="A14" s="6" t="s">
        <v>55</v>
      </c>
      <c r="B14" s="16">
        <f>MOD(357.528 + B12*0.9856003,360)</f>
        <v>53.716356549999546</v>
      </c>
      <c r="C14" s="14" t="s">
        <v>4</v>
      </c>
      <c r="D14" s="16"/>
      <c r="M14" s="24">
        <f t="shared" si="1"/>
        <v>8</v>
      </c>
      <c r="N14" s="35">
        <f>IF(OR(MODS!W12="",MODS!Z12&lt;&gt;""),NA(),MODS!$B$7)</f>
        <v>1.5666666666666669</v>
      </c>
      <c r="O14" s="35">
        <f>IF(OR(LUCI!W12="",LUCI!Z12&lt;&gt;""),NA(),LUCI!$B$7)</f>
        <v>1.9666666666666668</v>
      </c>
      <c r="P14" s="35" t="e">
        <f>IF(OR(LBC!W12="",LBC!Z12&lt;&gt;""),NA(),LBC!$B$7)</f>
        <v>#N/A</v>
      </c>
      <c r="Q14" s="47" t="e">
        <f>IF(OR(PEPSI!W12="",PEPSI!Z12&lt;&gt;""),NA(),PEPSI!$B$7)</f>
        <v>#N/A</v>
      </c>
      <c r="S14" s="24">
        <v>11</v>
      </c>
      <c r="T14" s="1">
        <v>88</v>
      </c>
      <c r="U14" s="25" t="str">
        <f t="shared" si="0"/>
        <v>6 am</v>
      </c>
    </row>
    <row r="15" spans="1:21" x14ac:dyDescent="0.2">
      <c r="A15" s="6" t="s">
        <v>64</v>
      </c>
      <c r="B15" s="16">
        <f>MOD(B13 + 1.915*SIN(RADIANS(B14)) + 0.02*SIN(RADIANS(2*B14)),360)</f>
        <v>338.64389253155724</v>
      </c>
      <c r="C15" s="14" t="s">
        <v>4</v>
      </c>
      <c r="D15" s="16"/>
      <c r="M15" s="24">
        <f t="shared" si="1"/>
        <v>9</v>
      </c>
      <c r="N15" s="35">
        <f>IF(OR(MODS!W13="",MODS!Z13&lt;&gt;""),NA(),MODS!$B$7)</f>
        <v>1.5666666666666669</v>
      </c>
      <c r="O15" s="35" t="e">
        <f>IF(OR(LUCI!W13="",LUCI!Z13&lt;&gt;""),NA(),LUCI!$B$7)</f>
        <v>#N/A</v>
      </c>
      <c r="P15" s="35" t="e">
        <f>IF(OR(LBC!W13="",LBC!Z13&lt;&gt;""),NA(),LBC!$B$7)</f>
        <v>#N/A</v>
      </c>
      <c r="Q15" s="47">
        <f>IF(OR(PEPSI!W13="",PEPSI!Z13&lt;&gt;""),NA(),PEPSI!$B$7)</f>
        <v>9.6666666666666679</v>
      </c>
      <c r="S15" s="24">
        <v>12</v>
      </c>
      <c r="T15" s="1">
        <v>88</v>
      </c>
      <c r="U15" s="25" t="str">
        <f t="shared" si="0"/>
        <v>7 am</v>
      </c>
    </row>
    <row r="16" spans="1:21" ht="17" thickBot="1" x14ac:dyDescent="0.25">
      <c r="A16" s="6" t="s">
        <v>56</v>
      </c>
      <c r="B16">
        <v>23.439</v>
      </c>
      <c r="C16" s="14" t="s">
        <v>4</v>
      </c>
      <c r="M16" s="24">
        <f t="shared" si="1"/>
        <v>10</v>
      </c>
      <c r="N16" s="35">
        <f>IF(OR(MODS!W14="",MODS!Z14&lt;&gt;""),NA(),MODS!$B$7)</f>
        <v>1.5666666666666669</v>
      </c>
      <c r="O16" s="35" t="e">
        <f>IF(OR(LUCI!W14="",LUCI!Z14&lt;&gt;""),NA(),LUCI!$B$7)</f>
        <v>#N/A</v>
      </c>
      <c r="P16" s="35" t="e">
        <f>IF(OR(LBC!W14="",LBC!Z14&lt;&gt;""),NA(),LBC!$B$7)</f>
        <v>#N/A</v>
      </c>
      <c r="Q16" s="47">
        <f>IF(OR(PEPSI!W14="",PEPSI!Z14&lt;&gt;""),NA(),PEPSI!$B$7)</f>
        <v>9.6666666666666679</v>
      </c>
      <c r="S16" s="26">
        <v>13</v>
      </c>
      <c r="T16" s="27">
        <v>88</v>
      </c>
      <c r="U16" s="28" t="str">
        <f t="shared" si="0"/>
        <v>8 am</v>
      </c>
    </row>
    <row r="17" spans="1:36" x14ac:dyDescent="0.2">
      <c r="A17" s="6"/>
      <c r="C17" s="14"/>
      <c r="D17" s="54" t="s">
        <v>142</v>
      </c>
      <c r="M17" s="24">
        <f t="shared" si="1"/>
        <v>11</v>
      </c>
      <c r="N17" s="35" t="e">
        <f>IF(OR(MODS!W15="",MODS!Z15&lt;&gt;""),NA(),MODS!$B$7)</f>
        <v>#N/A</v>
      </c>
      <c r="O17" s="35" t="e">
        <f>IF(OR(LUCI!W15="",LUCI!Z15&lt;&gt;""),NA(),LUCI!$B$7)</f>
        <v>#N/A</v>
      </c>
      <c r="P17" s="35" t="e">
        <f>IF(OR(LBC!W15="",LBC!Z15&lt;&gt;""),NA(),LBC!$B$7)</f>
        <v>#N/A</v>
      </c>
      <c r="Q17" s="47">
        <f>IF(OR(PEPSI!W15="",PEPSI!Z15&lt;&gt;""),NA(),PEPSI!$B$7)</f>
        <v>9.6666666666666679</v>
      </c>
    </row>
    <row r="18" spans="1:36" ht="17" thickBot="1" x14ac:dyDescent="0.25">
      <c r="A18" s="6" t="s">
        <v>57</v>
      </c>
      <c r="B18" s="16">
        <f>MOD(180/PI()*ATAN2(COS(RADIANS(B15)),COS(RADIANS(B16))*SIN(RADIANS(B15))),360)</f>
        <v>340.26467745472934</v>
      </c>
      <c r="C18" s="14" t="s">
        <v>4</v>
      </c>
      <c r="D18" s="16">
        <f>INT(B18/15) + MOD(B18/15,1)*60/100</f>
        <v>22.410587098189172</v>
      </c>
      <c r="M18" s="24">
        <f t="shared" si="1"/>
        <v>12</v>
      </c>
      <c r="N18" s="35">
        <f>IF(OR(MODS!W16="",MODS!Z16&lt;&gt;""),NA(),MODS!$B$7)</f>
        <v>1.5666666666666669</v>
      </c>
      <c r="O18" s="35" t="e">
        <f>IF(OR(LUCI!W16="",LUCI!Z16&lt;&gt;""),NA(),LUCI!$B$7)</f>
        <v>#N/A</v>
      </c>
      <c r="P18" s="35" t="e">
        <f>IF(OR(LBC!W16="",LBC!Z16&lt;&gt;""),NA(),LBC!$B$7)</f>
        <v>#N/A</v>
      </c>
      <c r="Q18" s="47">
        <f>IF(OR(PEPSI!W16="",PEPSI!Z16&lt;&gt;""),NA(),PEPSI!$B$7)</f>
        <v>9.6666666666666679</v>
      </c>
    </row>
    <row r="19" spans="1:36" ht="17" thickBot="1" x14ac:dyDescent="0.25">
      <c r="A19" s="8" t="s">
        <v>58</v>
      </c>
      <c r="B19" s="43">
        <f>180/PI()*ASIN(SIN(RADIANS(B16))*SIN(RADIANS(B15)))</f>
        <v>-8.3288359554289411</v>
      </c>
      <c r="C19" s="15" t="s">
        <v>4</v>
      </c>
      <c r="D19" s="16">
        <f>IF(B19&gt;0,INT(B19) + MOD(B19,1)*60/100,-INT(-B19) - MOD(-B19,1)*60/100)</f>
        <v>-8.1973015732573646</v>
      </c>
      <c r="M19" s="24">
        <f t="shared" si="1"/>
        <v>13</v>
      </c>
      <c r="N19" s="35" t="e">
        <f>IF(OR(MODS!W17="",MODS!Z17&lt;&gt;""),NA(),MODS!$B$7)</f>
        <v>#N/A</v>
      </c>
      <c r="O19" s="35" t="e">
        <f>IF(OR(LUCI!W17="",LUCI!Z17&lt;&gt;""),NA(),LUCI!$B$7)</f>
        <v>#N/A</v>
      </c>
      <c r="P19" s="35" t="e">
        <f>IF(OR(LBC!W17="",LBC!Z17&lt;&gt;""),NA(),LBC!$B$7)</f>
        <v>#N/A</v>
      </c>
      <c r="Q19" s="47">
        <f>IF(OR(PEPSI!W17="",PEPSI!Z17&lt;&gt;""),NA(),PEPSI!$B$7)</f>
        <v>9.6666666666666679</v>
      </c>
      <c r="S19" s="361" t="s">
        <v>147</v>
      </c>
      <c r="T19" s="362"/>
      <c r="U19" s="362"/>
      <c r="V19" s="363"/>
    </row>
    <row r="20" spans="1:36" ht="17" thickBot="1" x14ac:dyDescent="0.25">
      <c r="M20" s="24">
        <f t="shared" si="1"/>
        <v>14</v>
      </c>
      <c r="N20" s="35">
        <f>IF(OR(MODS!W18="",MODS!Z18&lt;&gt;""),NA(),MODS!$B$7)</f>
        <v>1.5666666666666669</v>
      </c>
      <c r="O20" s="35" t="e">
        <f>IF(OR(LUCI!W18="",LUCI!Z18&lt;&gt;""),NA(),LUCI!$B$7)</f>
        <v>#N/A</v>
      </c>
      <c r="P20" s="35" t="e">
        <f>IF(OR(LBC!W18="",LBC!Z18&lt;&gt;""),NA(),LBC!$B$7)</f>
        <v>#N/A</v>
      </c>
      <c r="Q20" s="47" t="e">
        <f>IF(OR(PEPSI!W18="",PEPSI!Z18&lt;&gt;""),NA(),PEPSI!$B$7)</f>
        <v>#N/A</v>
      </c>
      <c r="S20" s="24">
        <v>2</v>
      </c>
      <c r="T20" s="1">
        <v>90</v>
      </c>
      <c r="V20" s="14"/>
    </row>
    <row r="21" spans="1:36" x14ac:dyDescent="0.2">
      <c r="A21" s="304" t="s">
        <v>66</v>
      </c>
      <c r="B21" s="305"/>
      <c r="C21" s="306"/>
      <c r="D21" s="54" t="s">
        <v>142</v>
      </c>
      <c r="M21" s="24">
        <f t="shared" si="1"/>
        <v>15</v>
      </c>
      <c r="N21" s="35">
        <f>IF(OR(MODS!W19="",MODS!Z19&lt;&gt;""),NA(),MODS!$B$7)</f>
        <v>1.5666666666666669</v>
      </c>
      <c r="O21" s="35" t="e">
        <f>IF(OR(LUCI!W19="",LUCI!Z19&lt;&gt;""),NA(),LUCI!$B$7)</f>
        <v>#N/A</v>
      </c>
      <c r="P21" s="35" t="e">
        <f>IF(OR(LBC!W19="",LBC!Z19&lt;&gt;""),NA(),LBC!$B$7)</f>
        <v>#N/A</v>
      </c>
      <c r="Q21" s="47">
        <f>IF(OR(PEPSI!W19="",PEPSI!Z19&lt;&gt;""),NA(),PEPSI!$B$7)</f>
        <v>9.6666666666666679</v>
      </c>
      <c r="S21" s="24">
        <v>40</v>
      </c>
      <c r="T21" s="1">
        <v>90</v>
      </c>
      <c r="U21" t="str">
        <f>B6 &amp; "/" &amp; B7 &amp; "/" &amp; B8</f>
        <v>2/27/2025</v>
      </c>
      <c r="V21" s="14"/>
    </row>
    <row r="22" spans="1:36" ht="17" thickBot="1" x14ac:dyDescent="0.25">
      <c r="A22" s="6" t="s">
        <v>143</v>
      </c>
      <c r="B22" s="16">
        <f>MOD(18.697375 + 24.065709824279*B12,24)</f>
        <v>10.472095387580339</v>
      </c>
      <c r="C22" s="14" t="s">
        <v>3</v>
      </c>
      <c r="D22" s="16">
        <f>INT(B22) + MOD(B22,1)*60/100</f>
        <v>10.283257232548204</v>
      </c>
      <c r="M22" s="24">
        <f t="shared" si="1"/>
        <v>16</v>
      </c>
      <c r="N22" s="35">
        <f>IF(OR(MODS!W20="",MODS!Z20&lt;&gt;""),NA(),MODS!$B$7)</f>
        <v>1.5666666666666669</v>
      </c>
      <c r="O22" s="35" t="e">
        <f>IF(OR(LUCI!W20="",LUCI!Z20&lt;&gt;""),NA(),LUCI!$B$7)</f>
        <v>#N/A</v>
      </c>
      <c r="P22" s="35" t="e">
        <f>IF(OR(LBC!W20="",LBC!Z20&lt;&gt;""),NA(),LBC!$B$7)</f>
        <v>#N/A</v>
      </c>
      <c r="Q22" s="47">
        <f>IF(OR(PEPSI!W20="",PEPSI!Z20&lt;&gt;""),NA(),PEPSI!$B$7)</f>
        <v>9.6666666666666679</v>
      </c>
      <c r="S22" s="26">
        <v>0.9</v>
      </c>
      <c r="T22" s="27">
        <v>0.95</v>
      </c>
      <c r="U22" s="9"/>
      <c r="V22" s="15"/>
    </row>
    <row r="23" spans="1:36" ht="17" thickBot="1" x14ac:dyDescent="0.25">
      <c r="A23" s="8" t="s">
        <v>16</v>
      </c>
      <c r="B23" s="43">
        <f>MOD(B22 + B4/15,24)</f>
        <v>3.1461620542470055</v>
      </c>
      <c r="C23" s="15" t="s">
        <v>3</v>
      </c>
      <c r="D23" s="16">
        <f>INT(B23) + MOD(B23,1)*60/100</f>
        <v>3.0876972325482033</v>
      </c>
      <c r="M23" s="24">
        <f t="shared" si="1"/>
        <v>17</v>
      </c>
      <c r="N23" s="35" t="e">
        <f>IF(OR(MODS!W21="",MODS!Z21&lt;&gt;""),NA(),MODS!$B$7)</f>
        <v>#N/A</v>
      </c>
      <c r="O23" s="35" t="e">
        <f>IF(OR(LUCI!W21="",LUCI!Z21&lt;&gt;""),NA(),LUCI!$B$7)</f>
        <v>#N/A</v>
      </c>
      <c r="P23" s="35" t="e">
        <f>IF(OR(LBC!W21="",LBC!Z21&lt;&gt;""),NA(),LBC!$B$7)</f>
        <v>#N/A</v>
      </c>
      <c r="Q23" s="47">
        <f>IF(OR(PEPSI!W21="",PEPSI!Z21&lt;&gt;""),NA(),PEPSI!$B$7)</f>
        <v>9.6666666666666679</v>
      </c>
    </row>
    <row r="24" spans="1:36" ht="17" thickBot="1" x14ac:dyDescent="0.25">
      <c r="M24" s="24">
        <f>M23+1</f>
        <v>18</v>
      </c>
      <c r="N24" s="35" t="e">
        <f>IF(OR(MODS!W22="",MODS!Z22&lt;&gt;""),NA(),MODS!$B$7)</f>
        <v>#N/A</v>
      </c>
      <c r="O24" s="35" t="e">
        <f>IF(OR(LUCI!W22="",LUCI!Z22&lt;&gt;""),NA(),LUCI!$B$7)</f>
        <v>#N/A</v>
      </c>
      <c r="P24" s="35" t="e">
        <f>IF(OR(LBC!W22="",LBC!Z22&lt;&gt;""),NA(),LBC!$B$7)</f>
        <v>#N/A</v>
      </c>
      <c r="Q24" s="47" t="e">
        <f>IF(OR(PEPSI!W22="",PEPSI!Z22&lt;&gt;""),NA(),PEPSI!$B$7)</f>
        <v>#N/A</v>
      </c>
    </row>
    <row r="25" spans="1:36" x14ac:dyDescent="0.2">
      <c r="A25" s="304" t="s">
        <v>68</v>
      </c>
      <c r="B25" s="305"/>
      <c r="C25" s="306"/>
      <c r="M25" s="24">
        <f t="shared" si="1"/>
        <v>19</v>
      </c>
      <c r="N25" s="35">
        <f>IF(OR(MODS!W23="",MODS!Z23&lt;&gt;""),NA(),MODS!$B$7)</f>
        <v>1.5666666666666669</v>
      </c>
      <c r="O25" s="35" t="e">
        <f>IF(OR(LUCI!W23="",LUCI!Z23&lt;&gt;""),NA(),LUCI!$B$7)</f>
        <v>#N/A</v>
      </c>
      <c r="P25" s="35" t="e">
        <f>IF(OR(LBC!W23="",LBC!Z23&lt;&gt;""),NA(),LBC!$B$7)</f>
        <v>#N/A</v>
      </c>
      <c r="Q25" s="47" t="e">
        <f>IF(OR(PEPSI!W23="",PEPSI!Z23&lt;&gt;""),NA(),PEPSI!$B$7)</f>
        <v>#N/A</v>
      </c>
    </row>
    <row r="26" spans="1:36" ht="17" thickBot="1" x14ac:dyDescent="0.25">
      <c r="A26" s="6" t="s">
        <v>59</v>
      </c>
      <c r="B26" s="16">
        <f>MOD(B18/15 + 12,24)</f>
        <v>10.684311830315288</v>
      </c>
      <c r="C26" s="14" t="s">
        <v>3</v>
      </c>
      <c r="M26" s="26">
        <f>M25+1</f>
        <v>20</v>
      </c>
      <c r="N26" s="48">
        <f>IF(OR(MODS!W24="",MODS!Z24&lt;&gt;""),NA(),MODS!$B$7)</f>
        <v>1.5666666666666669</v>
      </c>
      <c r="O26" s="48" t="e">
        <f>IF(OR(LUCI!W24="",LUCI!Z24&lt;&gt;""),NA(),LUCI!$B$7)</f>
        <v>#N/A</v>
      </c>
      <c r="P26" s="48" t="e">
        <f>IF(OR(LBC!W24="",LBC!Z24&lt;&gt;""),NA(),LBC!$B$7)</f>
        <v>#N/A</v>
      </c>
      <c r="Q26" s="49" t="e">
        <f>IF(OR(PEPSI!W24="",PEPSI!Z24&lt;&gt;""),NA(),PEPSI!$B$7)</f>
        <v>#N/A</v>
      </c>
    </row>
    <row r="27" spans="1:36" ht="17" thickBot="1" x14ac:dyDescent="0.25">
      <c r="A27" s="6" t="s">
        <v>26</v>
      </c>
      <c r="B27" s="16">
        <f>MOD(B26 - B23,24)</f>
        <v>7.5381497760682823</v>
      </c>
      <c r="C27" s="14" t="s">
        <v>3</v>
      </c>
      <c r="T27" s="358" t="s">
        <v>106</v>
      </c>
      <c r="U27" s="359"/>
      <c r="V27" s="360"/>
    </row>
    <row r="28" spans="1:36" ht="17" thickBot="1" x14ac:dyDescent="0.25">
      <c r="A28" s="6"/>
      <c r="C28" s="14"/>
      <c r="AA28" s="358" t="s">
        <v>84</v>
      </c>
      <c r="AB28" s="359"/>
      <c r="AC28" s="359"/>
      <c r="AD28" s="359"/>
      <c r="AE28" s="360"/>
    </row>
    <row r="29" spans="1:36" x14ac:dyDescent="0.2">
      <c r="A29" s="6" t="s">
        <v>60</v>
      </c>
      <c r="B29" s="16">
        <f>12 - 180/PI()/15*ACOS(  ( SIN(RADIANS(-0.86)) - SIN(RADIANS(B3))*SIN(RADIANS(B19))  ) / (  COS(RADIANS(B3))*COS(RADIANS(B19)) ) )</f>
        <v>6.2904247677032981</v>
      </c>
      <c r="C29" s="14" t="s">
        <v>3</v>
      </c>
      <c r="M29" s="304" t="s">
        <v>27</v>
      </c>
      <c r="N29" s="305"/>
      <c r="O29" s="306"/>
      <c r="Q29" s="304" t="s">
        <v>11</v>
      </c>
      <c r="R29" s="305"/>
      <c r="S29" s="306"/>
      <c r="V29" s="57" t="s">
        <v>0</v>
      </c>
      <c r="W29" s="58" t="s">
        <v>0</v>
      </c>
      <c r="X29" s="58" t="s">
        <v>1</v>
      </c>
      <c r="Y29" s="58" t="s">
        <v>5</v>
      </c>
      <c r="Z29" s="58" t="s">
        <v>6</v>
      </c>
      <c r="AA29" s="58" t="s">
        <v>5</v>
      </c>
      <c r="AB29" s="58" t="s">
        <v>6</v>
      </c>
      <c r="AC29" s="58" t="s">
        <v>5</v>
      </c>
      <c r="AD29" s="58" t="s">
        <v>6</v>
      </c>
      <c r="AE29" s="58" t="s">
        <v>5</v>
      </c>
      <c r="AF29" s="58" t="s">
        <v>6</v>
      </c>
      <c r="AG29" s="58" t="s">
        <v>5</v>
      </c>
      <c r="AH29" s="58" t="s">
        <v>6</v>
      </c>
      <c r="AI29" s="58" t="s">
        <v>5</v>
      </c>
      <c r="AJ29" s="59" t="s">
        <v>6</v>
      </c>
    </row>
    <row r="30" spans="1:36" x14ac:dyDescent="0.2">
      <c r="A30" s="6" t="s">
        <v>61</v>
      </c>
      <c r="B30" s="16">
        <f>12 - 180/PI()/15*ACOS(  ( SIN(RADIANS(-12)) - SIN(RADIANS(B3))*SIN(RADIANS(B19))  ) / (  COS(RADIANS(B3))*COS(RADIANS(B19)) ) )</f>
        <v>5.4027739042150973</v>
      </c>
      <c r="C30" s="14" t="s">
        <v>3</v>
      </c>
      <c r="M30" s="24">
        <v>0</v>
      </c>
      <c r="N30" s="1">
        <v>30</v>
      </c>
      <c r="O30" s="25">
        <v>86</v>
      </c>
      <c r="Q30" s="40" t="s">
        <v>28</v>
      </c>
      <c r="R30" s="2" t="s">
        <v>29</v>
      </c>
      <c r="S30" s="41" t="s">
        <v>30</v>
      </c>
      <c r="V30" s="40" t="s">
        <v>3</v>
      </c>
      <c r="W30" s="2" t="s">
        <v>3</v>
      </c>
      <c r="X30" s="2" t="s">
        <v>4</v>
      </c>
      <c r="Y30" s="2">
        <v>-20</v>
      </c>
      <c r="Z30" s="2">
        <v>-20</v>
      </c>
      <c r="AA30" s="2">
        <v>0</v>
      </c>
      <c r="AB30" s="2">
        <v>0</v>
      </c>
      <c r="AC30" s="2">
        <v>20</v>
      </c>
      <c r="AD30" s="2">
        <v>20</v>
      </c>
      <c r="AE30" s="2">
        <v>40</v>
      </c>
      <c r="AF30" s="2">
        <v>40</v>
      </c>
      <c r="AG30" s="2">
        <v>60</v>
      </c>
      <c r="AH30" s="2">
        <v>60</v>
      </c>
      <c r="AI30" s="2">
        <v>80</v>
      </c>
      <c r="AJ30" s="41">
        <v>80</v>
      </c>
    </row>
    <row r="31" spans="1:36" x14ac:dyDescent="0.2">
      <c r="A31" s="6" t="s">
        <v>62</v>
      </c>
      <c r="B31" s="16">
        <f>12 - 180/PI()/15*ACOS(  ( SIN(RADIANS(-18)) - SIN(RADIANS(B3))*SIN(RADIANS(B19))  ) / (  COS(RADIANS(B3))*COS(RADIANS(B19)) ) )</f>
        <v>4.9273402398499409</v>
      </c>
      <c r="C31" s="14" t="s">
        <v>3</v>
      </c>
      <c r="M31" s="24">
        <v>360</v>
      </c>
      <c r="N31" s="1">
        <v>30</v>
      </c>
      <c r="O31" s="25">
        <v>86</v>
      </c>
      <c r="Q31" s="37">
        <v>12</v>
      </c>
      <c r="R31" s="1">
        <v>30</v>
      </c>
      <c r="S31" s="25">
        <v>80</v>
      </c>
      <c r="V31" s="6"/>
      <c r="W31">
        <v>-6</v>
      </c>
      <c r="X31">
        <v>-20</v>
      </c>
      <c r="Y31" s="3">
        <f t="shared" ref="Y31:Y43" si="2">MOD(-180/PI()*ATAN2(-SIN(RADIANS($B$3))*COS(RADIANS($X$31))*COS(RADIANS(15*W31)) + COS(RADIANS($B$3))*SIN(RADIANS($X$31)),COS(RADIANS($X$31))*SIN(RADIANS(15*W31))),360)</f>
        <v>107.02903424436295</v>
      </c>
      <c r="Z31" s="3">
        <f t="shared" ref="Z31:Z43" si="3">180/PI()*ASIN(SIN(RADIANS($B$3))*SIN(RADIANS($X$31)) + COS(RADIANS($B$3))*COS(RADIANS($X$31))*COS(RADIANS(15*W31)))</f>
        <v>-10.647902283000841</v>
      </c>
      <c r="AA31" s="3">
        <f t="shared" ref="AA31:AA43" si="4">MOD(-180/PI()*ATAN2(-SIN(RADIANS($B$3))*COS(RADIANS($X$32))*COS(RADIANS(15*W31)) + COS(RADIANS($B$3))*SIN(RADIANS($X$32)),COS(RADIANS($X$32))*SIN(RADIANS(15*W31))),360)</f>
        <v>90</v>
      </c>
      <c r="AB31" s="3">
        <f t="shared" ref="AB31:AB43" si="5">180/PI()*ASIN(SIN(RADIANS($B$3))*SIN(RADIANS($X$32)) + COS(RADIANS($B$3))*COS(RADIANS($X$32))*COS(RADIANS(15*W31)))</f>
        <v>2.9535276312798145E-15</v>
      </c>
      <c r="AC31" s="3">
        <f t="shared" ref="AC31:AC43" si="6">MOD(-180/PI()*ATAN2(-SIN(RADIANS($B$3))*COS(RADIANS($X$33))*COS(RADIANS(15*W31)) + COS(RADIANS($B$3))*SIN(RADIANS($X$33)),COS(RADIANS($X$33))*SIN(RADIANS(15*W31))),360)</f>
        <v>72.970965755637053</v>
      </c>
      <c r="AD31" s="3">
        <f t="shared" ref="AD31:AD43" si="7">180/PI()*ASIN(SIN(RADIANS($B$3))*SIN(RADIANS($X$33)) + COS(RADIANS($B$3))*COS(RADIANS($X$33))*COS(RADIANS(15*W31)))</f>
        <v>10.647902283000848</v>
      </c>
      <c r="AE31" s="3">
        <f t="shared" ref="AE31:AE37" si="8">MOD(-180/PI()*ATAN2(-SIN(RADIANS($B$3))*COS(RADIANS($X$34))*COS(RADIANS(15*W31)) + COS(RADIANS($B$3))*SIN(RADIANS($X$34)),COS(RADIANS($X$34))*SIN(RADIANS(15*W31))),360)</f>
        <v>54.773649427199068</v>
      </c>
      <c r="AF31" s="3">
        <f t="shared" ref="AF31:AF37" si="9">180/PI()*ASIN(SIN(RADIANS($B$3))*SIN(RADIANS($X$34)) + COS(RADIANS($B$3))*COS(RADIANS($X$34))*COS(RADIANS(15*W31)))</f>
        <v>20.319802581796932</v>
      </c>
      <c r="AG31" s="3">
        <f t="shared" ref="AG31:AG37" si="10">MOD(-180/PI()*ATAN2(-SIN(RADIANS($B$3))*COS(RADIANS($X$35))*COS(RADIANS(15*W31)) + COS(RADIANS($B$3))*SIN(RADIANS($X$35)),COS(RADIANS($X$35))*SIN(RADIANS(15*W31))),360)</f>
        <v>34.453542564623511</v>
      </c>
      <c r="AH31" s="3">
        <f t="shared" ref="AH31:AH37" si="11">180/PI()*ASIN(SIN(RADIANS($B$3))*SIN(RADIANS($X$35)) + COS(RADIANS($B$3))*COS(RADIANS($X$35))*COS(RADIANS(15*W31)))</f>
        <v>27.895593331044331</v>
      </c>
      <c r="AI31" s="3">
        <f t="shared" ref="AI31:AI37" si="12">MOD(-180/PI()*ATAN2(-SIN(RADIANS($B$3))*COS(RADIANS($X$36))*COS(RADIANS(15*W31)) + COS(RADIANS($B$3))*SIN(RADIANS($X$36)),COS(RADIANS($X$36))*SIN(RADIANS(15*W31))),360)</f>
        <v>11.83432597146335</v>
      </c>
      <c r="AJ31" s="7">
        <f t="shared" ref="AJ31:AJ37" si="13">180/PI()*ASIN(SIN(RADIANS($B$3))*SIN(RADIANS($X$36)) + COS(RADIANS($B$3))*COS(RADIANS($X$36))*COS(RADIANS(15*W31)))</f>
        <v>32.142909895224342</v>
      </c>
    </row>
    <row r="32" spans="1:36" x14ac:dyDescent="0.2">
      <c r="A32" s="6"/>
      <c r="C32" s="14"/>
      <c r="D32" s="54" t="s">
        <v>141</v>
      </c>
      <c r="M32" s="24">
        <v>180</v>
      </c>
      <c r="N32" s="1">
        <v>0</v>
      </c>
      <c r="O32" s="25"/>
      <c r="Q32" s="24">
        <v>34</v>
      </c>
      <c r="R32" s="1">
        <v>26</v>
      </c>
      <c r="S32" s="25">
        <v>60</v>
      </c>
      <c r="V32" s="6"/>
      <c r="W32">
        <f t="shared" ref="W32:W37" si="14">W31+1</f>
        <v>-5</v>
      </c>
      <c r="X32">
        <f>X31+20</f>
        <v>0</v>
      </c>
      <c r="Y32" s="3">
        <f t="shared" si="2"/>
        <v>114.78968379951743</v>
      </c>
      <c r="Z32" s="3">
        <f t="shared" si="3"/>
        <v>1.1397487980177132</v>
      </c>
      <c r="AA32" s="3">
        <f t="shared" si="4"/>
        <v>98.236748204702977</v>
      </c>
      <c r="AB32" s="3">
        <f t="shared" si="5"/>
        <v>12.579791486979417</v>
      </c>
      <c r="AC32" s="3">
        <f t="shared" si="6"/>
        <v>80.222117465539853</v>
      </c>
      <c r="AD32" s="3">
        <f t="shared" si="7"/>
        <v>22.919484936535</v>
      </c>
      <c r="AE32" s="3">
        <f t="shared" si="8"/>
        <v>59.618467093394699</v>
      </c>
      <c r="AF32" s="3">
        <f t="shared" si="9"/>
        <v>30.93755122000206</v>
      </c>
      <c r="AG32" s="3">
        <f t="shared" si="10"/>
        <v>36.242569325632047</v>
      </c>
      <c r="AH32" s="3">
        <f t="shared" si="11"/>
        <v>35.223074169307544</v>
      </c>
      <c r="AI32" s="3">
        <f t="shared" si="12"/>
        <v>11.777730977235509</v>
      </c>
      <c r="AJ32" s="7">
        <f t="shared" si="13"/>
        <v>34.739993657072219</v>
      </c>
    </row>
    <row r="33" spans="1:36" x14ac:dyDescent="0.2">
      <c r="A33" s="6" t="s">
        <v>18</v>
      </c>
      <c r="B33" s="16">
        <f>B27 - B29</f>
        <v>1.2477250083649842</v>
      </c>
      <c r="C33" s="14" t="s">
        <v>3</v>
      </c>
      <c r="D33" s="16">
        <f t="shared" ref="D33:D38" si="15">INT(B33) + MOD(B33,1)*60/100</f>
        <v>1.1486350050189906</v>
      </c>
      <c r="M33" s="24">
        <v>180</v>
      </c>
      <c r="N33" s="1">
        <v>90</v>
      </c>
      <c r="O33" s="25"/>
      <c r="Q33" s="24">
        <v>55</v>
      </c>
      <c r="R33" s="1">
        <v>18</v>
      </c>
      <c r="S33" s="25">
        <v>40</v>
      </c>
      <c r="V33" s="6"/>
      <c r="W33">
        <f t="shared" si="14"/>
        <v>-4</v>
      </c>
      <c r="X33">
        <f t="shared" ref="X33:X36" si="16">X32+20</f>
        <v>20</v>
      </c>
      <c r="Y33" s="3">
        <f t="shared" si="2"/>
        <v>123.64675150493228</v>
      </c>
      <c r="Z33" s="3">
        <f t="shared" si="3"/>
        <v>12.157965287544533</v>
      </c>
      <c r="AA33" s="3">
        <f t="shared" si="4"/>
        <v>107.32311253128316</v>
      </c>
      <c r="AB33" s="3">
        <f t="shared" si="5"/>
        <v>24.882287665203343</v>
      </c>
      <c r="AC33" s="3">
        <f t="shared" si="6"/>
        <v>87.608750982038728</v>
      </c>
      <c r="AD33" s="3">
        <f t="shared" si="7"/>
        <v>35.461361393613451</v>
      </c>
      <c r="AE33" s="3">
        <f t="shared" si="8"/>
        <v>63.277519715569262</v>
      </c>
      <c r="AF33" s="3">
        <f t="shared" si="9"/>
        <v>42.034434601207053</v>
      </c>
      <c r="AG33" s="3">
        <f t="shared" si="10"/>
        <v>36.104547906981949</v>
      </c>
      <c r="AH33" s="3">
        <f t="shared" si="11"/>
        <v>42.706226966718809</v>
      </c>
      <c r="AI33" s="3">
        <f t="shared" si="12"/>
        <v>10.887904639642294</v>
      </c>
      <c r="AJ33" s="7">
        <f t="shared" si="13"/>
        <v>37.235769204297057</v>
      </c>
    </row>
    <row r="34" spans="1:36" x14ac:dyDescent="0.2">
      <c r="A34" s="6" t="s">
        <v>21</v>
      </c>
      <c r="B34" s="16">
        <f>B27 - B30</f>
        <v>2.135375871853185</v>
      </c>
      <c r="C34" s="14" t="s">
        <v>3</v>
      </c>
      <c r="D34" s="16">
        <f t="shared" si="15"/>
        <v>2.081225523111911</v>
      </c>
      <c r="M34" s="50">
        <f>INT(B27)-8</f>
        <v>-1</v>
      </c>
      <c r="N34" s="1">
        <v>30</v>
      </c>
      <c r="O34" s="25">
        <v>86</v>
      </c>
      <c r="Q34" s="24">
        <v>73</v>
      </c>
      <c r="R34" s="1">
        <v>8.5</v>
      </c>
      <c r="S34" s="25">
        <v>20</v>
      </c>
      <c r="V34" s="6"/>
      <c r="W34">
        <f t="shared" si="14"/>
        <v>-3</v>
      </c>
      <c r="X34">
        <f t="shared" si="16"/>
        <v>40</v>
      </c>
      <c r="Y34" s="3">
        <f t="shared" si="2"/>
        <v>134.22752195987701</v>
      </c>
      <c r="Z34" s="3">
        <f t="shared" si="3"/>
        <v>21.985981395600813</v>
      </c>
      <c r="AA34" s="3">
        <f t="shared" si="4"/>
        <v>118.37970591360207</v>
      </c>
      <c r="AB34" s="3">
        <f t="shared" si="5"/>
        <v>36.515339679802814</v>
      </c>
      <c r="AC34" s="3">
        <f t="shared" si="6"/>
        <v>96.112401476938246</v>
      </c>
      <c r="AD34" s="3">
        <f t="shared" si="7"/>
        <v>48.066922167281085</v>
      </c>
      <c r="AE34" s="3">
        <f t="shared" si="8"/>
        <v>65.375552352537142</v>
      </c>
      <c r="AF34" s="3">
        <f t="shared" si="9"/>
        <v>53.425747279019312</v>
      </c>
      <c r="AG34" s="3">
        <f t="shared" si="10"/>
        <v>33.322859188499407</v>
      </c>
      <c r="AH34" s="3">
        <f t="shared" si="11"/>
        <v>49.940884409088838</v>
      </c>
      <c r="AI34" s="3">
        <f t="shared" si="12"/>
        <v>9.149267977654592</v>
      </c>
      <c r="AJ34" s="7">
        <f t="shared" si="13"/>
        <v>39.446698793292988</v>
      </c>
    </row>
    <row r="35" spans="1:36" x14ac:dyDescent="0.2">
      <c r="A35" s="6" t="s">
        <v>20</v>
      </c>
      <c r="B35" s="16">
        <f>B27 - B31</f>
        <v>2.6108095362183414</v>
      </c>
      <c r="C35" s="14" t="s">
        <v>3</v>
      </c>
      <c r="D35" s="16">
        <f t="shared" si="15"/>
        <v>2.3664857217310047</v>
      </c>
      <c r="M35" s="50">
        <f>M34+16</f>
        <v>15</v>
      </c>
      <c r="N35" s="1">
        <v>30</v>
      </c>
      <c r="O35" s="25">
        <v>86</v>
      </c>
      <c r="Q35" s="24">
        <v>91</v>
      </c>
      <c r="R35" s="1">
        <v>2</v>
      </c>
      <c r="S35" s="25">
        <v>0</v>
      </c>
      <c r="V35" s="6"/>
      <c r="W35">
        <f t="shared" si="14"/>
        <v>-2</v>
      </c>
      <c r="X35">
        <f t="shared" si="16"/>
        <v>60</v>
      </c>
      <c r="Y35" s="3">
        <f t="shared" si="2"/>
        <v>147.14269848289527</v>
      </c>
      <c r="Z35" s="3">
        <f t="shared" si="3"/>
        <v>30.003073243340051</v>
      </c>
      <c r="AA35" s="3">
        <f t="shared" si="4"/>
        <v>133.09817430910678</v>
      </c>
      <c r="AB35" s="3">
        <f t="shared" si="5"/>
        <v>46.78335381826129</v>
      </c>
      <c r="AC35" s="3">
        <f t="shared" si="6"/>
        <v>107.90844260304503</v>
      </c>
      <c r="AD35" s="3">
        <f t="shared" si="7"/>
        <v>60.411330879740305</v>
      </c>
      <c r="AE35" s="3">
        <f t="shared" si="8"/>
        <v>64.522242830245119</v>
      </c>
      <c r="AF35" s="3">
        <f t="shared" si="9"/>
        <v>64.894729558190605</v>
      </c>
      <c r="AG35" s="3">
        <f t="shared" si="10"/>
        <v>26.803591925178001</v>
      </c>
      <c r="AH35" s="3">
        <f t="shared" si="11"/>
        <v>56.330224788620711</v>
      </c>
      <c r="AI35" s="3">
        <f t="shared" si="12"/>
        <v>6.6255159958337737</v>
      </c>
      <c r="AJ35" s="7">
        <f t="shared" si="13"/>
        <v>41.191847129464179</v>
      </c>
    </row>
    <row r="36" spans="1:36" x14ac:dyDescent="0.2">
      <c r="A36" s="6"/>
      <c r="C36" s="14"/>
      <c r="D36" s="16"/>
      <c r="M36" s="50">
        <f>B27</f>
        <v>7.5381497760682823</v>
      </c>
      <c r="N36" s="1">
        <v>0</v>
      </c>
      <c r="O36" s="25" t="s">
        <v>24</v>
      </c>
      <c r="Q36" s="24">
        <v>114.5</v>
      </c>
      <c r="R36" s="1">
        <v>2</v>
      </c>
      <c r="S36" s="25">
        <v>-20</v>
      </c>
      <c r="V36" s="6"/>
      <c r="W36">
        <f t="shared" si="14"/>
        <v>-1</v>
      </c>
      <c r="X36">
        <f t="shared" si="16"/>
        <v>80</v>
      </c>
      <c r="Y36" s="3">
        <f t="shared" si="2"/>
        <v>162.6439270283274</v>
      </c>
      <c r="Z36" s="3">
        <f t="shared" si="3"/>
        <v>35.383320664520298</v>
      </c>
      <c r="AA36" s="3">
        <f t="shared" si="4"/>
        <v>153.61944023636568</v>
      </c>
      <c r="AB36" s="3">
        <f t="shared" si="5"/>
        <v>54.374047122650516</v>
      </c>
      <c r="AC36" s="3">
        <f t="shared" si="6"/>
        <v>129.78788530765956</v>
      </c>
      <c r="AD36" s="3">
        <f t="shared" si="7"/>
        <v>71.548154461504794</v>
      </c>
      <c r="AE36" s="3">
        <f t="shared" si="8"/>
        <v>54.549112084780688</v>
      </c>
      <c r="AF36" s="3">
        <f t="shared" si="9"/>
        <v>75.913420070000157</v>
      </c>
      <c r="AG36" s="3">
        <f t="shared" si="10"/>
        <v>15.46158026525119</v>
      </c>
      <c r="AH36" s="3">
        <f t="shared" si="11"/>
        <v>60.959918239616378</v>
      </c>
      <c r="AI36" s="3">
        <f t="shared" si="12"/>
        <v>3.4844277193300073</v>
      </c>
      <c r="AJ36" s="7">
        <f t="shared" si="13"/>
        <v>42.313015982447965</v>
      </c>
    </row>
    <row r="37" spans="1:36" x14ac:dyDescent="0.2">
      <c r="A37" s="6" t="s">
        <v>20</v>
      </c>
      <c r="B37" s="16">
        <f>MOD(B27 + B31,24)</f>
        <v>12.465490015918224</v>
      </c>
      <c r="C37" s="14" t="s">
        <v>3</v>
      </c>
      <c r="D37" s="16">
        <f t="shared" si="15"/>
        <v>12.279294009550934</v>
      </c>
      <c r="M37" s="50">
        <f>B27</f>
        <v>7.5381497760682823</v>
      </c>
      <c r="N37" s="1">
        <v>20</v>
      </c>
      <c r="O37" s="25"/>
      <c r="Q37" s="24">
        <v>38</v>
      </c>
      <c r="R37" s="1">
        <v>16</v>
      </c>
      <c r="S37" s="25" t="s">
        <v>12</v>
      </c>
      <c r="V37" s="6"/>
      <c r="W37">
        <f t="shared" si="14"/>
        <v>0</v>
      </c>
      <c r="Y37" s="3">
        <f t="shared" si="2"/>
        <v>180</v>
      </c>
      <c r="Z37" s="3">
        <f t="shared" si="3"/>
        <v>37.300000000000011</v>
      </c>
      <c r="AA37" s="3">
        <f t="shared" si="4"/>
        <v>180</v>
      </c>
      <c r="AB37" s="3">
        <f t="shared" si="5"/>
        <v>57.3</v>
      </c>
      <c r="AC37" s="3">
        <f t="shared" si="6"/>
        <v>180</v>
      </c>
      <c r="AD37" s="3">
        <f t="shared" si="7"/>
        <v>77.3</v>
      </c>
      <c r="AE37" s="3">
        <f t="shared" si="8"/>
        <v>0</v>
      </c>
      <c r="AF37" s="3">
        <f t="shared" si="9"/>
        <v>82.699999999999974</v>
      </c>
      <c r="AG37" s="3">
        <f t="shared" si="10"/>
        <v>0</v>
      </c>
      <c r="AH37" s="3">
        <f t="shared" si="11"/>
        <v>62.7</v>
      </c>
      <c r="AI37" s="3">
        <f t="shared" si="12"/>
        <v>0</v>
      </c>
      <c r="AJ37" s="7">
        <f t="shared" si="13"/>
        <v>42.7</v>
      </c>
    </row>
    <row r="38" spans="1:36" x14ac:dyDescent="0.2">
      <c r="A38" s="6" t="s">
        <v>21</v>
      </c>
      <c r="B38" s="16">
        <f>MOD(B27 + B30,24)</f>
        <v>12.94092368028338</v>
      </c>
      <c r="C38" s="14" t="s">
        <v>3</v>
      </c>
      <c r="D38" s="16">
        <f t="shared" si="15"/>
        <v>12.564554208170028</v>
      </c>
      <c r="M38" s="50">
        <f>B33</f>
        <v>1.2477250083649842</v>
      </c>
      <c r="N38" s="1">
        <v>0</v>
      </c>
      <c r="O38" s="25" t="s">
        <v>22</v>
      </c>
      <c r="Q38" s="24">
        <v>38</v>
      </c>
      <c r="R38" s="1">
        <v>12</v>
      </c>
      <c r="S38" s="25" t="s">
        <v>14</v>
      </c>
      <c r="V38" s="6">
        <v>6</v>
      </c>
      <c r="W38">
        <v>1</v>
      </c>
      <c r="Y38" s="3">
        <f t="shared" si="2"/>
        <v>197.3560729716726</v>
      </c>
      <c r="Z38" s="3">
        <f t="shared" si="3"/>
        <v>35.383320664520298</v>
      </c>
      <c r="AA38" s="3">
        <f t="shared" si="4"/>
        <v>206.38055976363432</v>
      </c>
      <c r="AB38" s="3">
        <f t="shared" si="5"/>
        <v>54.374047122650516</v>
      </c>
      <c r="AC38" s="3">
        <f t="shared" si="6"/>
        <v>230.21211469234044</v>
      </c>
      <c r="AD38" s="3">
        <f t="shared" si="7"/>
        <v>71.548154461504794</v>
      </c>
      <c r="AE38" s="3">
        <f t="shared" ref="AE38:AE43" si="17">MOD(-180/PI()*ATAN2(-SIN(RADIANS($B$3))*COS(RADIANS($X$34))*COS(RADIANS(15*V38)) + COS(RADIANS($B$3))*SIN(RADIANS($X$34)),COS(RADIANS($X$34))*SIN(RADIANS(15*V38))),360)</f>
        <v>305.22635057280092</v>
      </c>
      <c r="AF38" s="3">
        <f t="shared" ref="AF38:AF44" si="18">180/PI()*ASIN(SIN(RADIANS($B$3))*SIN(RADIANS($X$34)) + COS(RADIANS($B$3))*COS(RADIANS($X$34))*COS(RADIANS(15*V38)))</f>
        <v>20.319802581796932</v>
      </c>
      <c r="AG38" s="3">
        <f t="shared" ref="AG38:AG43" si="19">MOD(-180/PI()*ATAN2(-SIN(RADIANS($B$3))*COS(RADIANS($X$35))*COS(RADIANS(15*V38)) + COS(RADIANS($B$3))*SIN(RADIANS($X$35)),COS(RADIANS($X$35))*SIN(RADIANS(15*V38))),360)</f>
        <v>325.54645743537651</v>
      </c>
      <c r="AH38" s="3">
        <f t="shared" ref="AH38:AH44" si="20">180/PI()*ASIN(SIN(RADIANS($B$3))*SIN(RADIANS($X$35)) + COS(RADIANS($B$3))*COS(RADIANS($X$35))*COS(RADIANS(15*V38)))</f>
        <v>27.895593331044331</v>
      </c>
      <c r="AI38" s="3">
        <f t="shared" ref="AI38:AI43" si="21">MOD(-180/PI()*ATAN2(-SIN(RADIANS($B$3))*COS(RADIANS($X$36))*COS(RADIANS(15*V38)) + COS(RADIANS($B$3))*SIN(RADIANS($X$36)),COS(RADIANS($X$36))*SIN(RADIANS(15*V38))),360)</f>
        <v>348.16567402853667</v>
      </c>
      <c r="AJ38" s="7">
        <f t="shared" ref="AJ38:AJ44" si="22">180/PI()*ASIN(SIN(RADIANS($B$3))*SIN(RADIANS($X$36)) + COS(RADIANS($B$3))*COS(RADIANS($X$36))*COS(RADIANS(15*V38)))</f>
        <v>32.142909895224342</v>
      </c>
    </row>
    <row r="39" spans="1:36" ht="17" thickBot="1" x14ac:dyDescent="0.25">
      <c r="A39" s="8" t="s">
        <v>19</v>
      </c>
      <c r="B39" s="43">
        <f>MOD(B27 + B29,24)</f>
        <v>13.82857454377158</v>
      </c>
      <c r="C39" s="15" t="s">
        <v>3</v>
      </c>
      <c r="D39" s="16">
        <f>INT(B39) + MOD(B39,1)*60/100</f>
        <v>13.497144726262949</v>
      </c>
      <c r="M39" s="50">
        <f>B33</f>
        <v>1.2477250083649842</v>
      </c>
      <c r="N39" s="1">
        <v>90</v>
      </c>
      <c r="O39" s="25"/>
      <c r="Q39" s="26">
        <v>310</v>
      </c>
      <c r="R39" s="27">
        <v>16</v>
      </c>
      <c r="S39" s="28" t="s">
        <v>13</v>
      </c>
      <c r="V39" s="6">
        <v>5</v>
      </c>
      <c r="W39">
        <f>W38+1</f>
        <v>2</v>
      </c>
      <c r="Y39" s="3">
        <f t="shared" si="2"/>
        <v>212.85730151710473</v>
      </c>
      <c r="Z39" s="3">
        <f t="shared" si="3"/>
        <v>30.003073243340051</v>
      </c>
      <c r="AA39" s="3">
        <f t="shared" si="4"/>
        <v>226.90182569089322</v>
      </c>
      <c r="AB39" s="3">
        <f t="shared" si="5"/>
        <v>46.78335381826129</v>
      </c>
      <c r="AC39" s="3">
        <f t="shared" si="6"/>
        <v>252.09155739695495</v>
      </c>
      <c r="AD39" s="3">
        <f t="shared" si="7"/>
        <v>60.411330879740305</v>
      </c>
      <c r="AE39" s="3">
        <f t="shared" si="17"/>
        <v>300.38153290660529</v>
      </c>
      <c r="AF39" s="3">
        <f t="shared" si="18"/>
        <v>30.93755122000206</v>
      </c>
      <c r="AG39" s="3">
        <f t="shared" si="19"/>
        <v>323.75743067436792</v>
      </c>
      <c r="AH39" s="3">
        <f t="shared" si="20"/>
        <v>35.223074169307544</v>
      </c>
      <c r="AI39" s="3">
        <f t="shared" si="21"/>
        <v>348.22226902276446</v>
      </c>
      <c r="AJ39" s="7">
        <f t="shared" si="22"/>
        <v>34.739993657072219</v>
      </c>
    </row>
    <row r="40" spans="1:36" ht="17" thickBot="1" x14ac:dyDescent="0.25">
      <c r="M40" s="50">
        <f>B39</f>
        <v>13.82857454377158</v>
      </c>
      <c r="N40" s="1">
        <v>0</v>
      </c>
      <c r="O40" s="25" t="s">
        <v>23</v>
      </c>
      <c r="V40" s="6">
        <v>4</v>
      </c>
      <c r="W40">
        <f>W39+1</f>
        <v>3</v>
      </c>
      <c r="Y40" s="3">
        <f t="shared" si="2"/>
        <v>225.77247804012299</v>
      </c>
      <c r="Z40" s="3">
        <f t="shared" si="3"/>
        <v>21.985981395600813</v>
      </c>
      <c r="AA40" s="3">
        <f t="shared" si="4"/>
        <v>241.62029408639793</v>
      </c>
      <c r="AB40" s="3">
        <f t="shared" si="5"/>
        <v>36.515339679802814</v>
      </c>
      <c r="AC40" s="3">
        <f t="shared" si="6"/>
        <v>263.88759852306174</v>
      </c>
      <c r="AD40" s="3">
        <f t="shared" si="7"/>
        <v>48.066922167281085</v>
      </c>
      <c r="AE40" s="3">
        <f t="shared" si="17"/>
        <v>296.72248028443073</v>
      </c>
      <c r="AF40" s="3">
        <f t="shared" si="18"/>
        <v>42.034434601207053</v>
      </c>
      <c r="AG40" s="3">
        <f t="shared" si="19"/>
        <v>323.89545209301804</v>
      </c>
      <c r="AH40" s="3">
        <f t="shared" si="20"/>
        <v>42.706226966718809</v>
      </c>
      <c r="AI40" s="3">
        <f t="shared" si="21"/>
        <v>349.11209536035773</v>
      </c>
      <c r="AJ40" s="7">
        <f t="shared" si="22"/>
        <v>37.235769204297057</v>
      </c>
    </row>
    <row r="41" spans="1:36" ht="17" thickBot="1" x14ac:dyDescent="0.25">
      <c r="A41" s="304" t="s">
        <v>74</v>
      </c>
      <c r="B41" s="305"/>
      <c r="C41" s="306"/>
      <c r="M41" s="50">
        <f>B39</f>
        <v>13.82857454377158</v>
      </c>
      <c r="N41" s="1">
        <v>90</v>
      </c>
      <c r="O41" s="25"/>
      <c r="V41" s="6">
        <v>3</v>
      </c>
      <c r="W41">
        <f>W40+1</f>
        <v>4</v>
      </c>
      <c r="Y41" s="3">
        <f t="shared" si="2"/>
        <v>236.3532484950677</v>
      </c>
      <c r="Z41" s="3">
        <f t="shared" si="3"/>
        <v>12.157965287544533</v>
      </c>
      <c r="AA41" s="3">
        <f t="shared" si="4"/>
        <v>252.67688746871684</v>
      </c>
      <c r="AB41" s="3">
        <f t="shared" si="5"/>
        <v>24.882287665203343</v>
      </c>
      <c r="AC41" s="3">
        <f t="shared" si="6"/>
        <v>272.39124901796129</v>
      </c>
      <c r="AD41" s="3">
        <f t="shared" si="7"/>
        <v>35.461361393613451</v>
      </c>
      <c r="AE41" s="3">
        <f t="shared" si="17"/>
        <v>294.62444764746283</v>
      </c>
      <c r="AF41" s="3">
        <f t="shared" si="18"/>
        <v>53.425747279019312</v>
      </c>
      <c r="AG41" s="3">
        <f t="shared" si="19"/>
        <v>326.67714081150058</v>
      </c>
      <c r="AH41" s="3">
        <f t="shared" si="20"/>
        <v>49.940884409088838</v>
      </c>
      <c r="AI41" s="3">
        <f t="shared" si="21"/>
        <v>350.85073202234543</v>
      </c>
      <c r="AJ41" s="7">
        <f t="shared" si="22"/>
        <v>39.446698793292988</v>
      </c>
    </row>
    <row r="42" spans="1:36" x14ac:dyDescent="0.2">
      <c r="A42" s="6" t="s">
        <v>72</v>
      </c>
      <c r="B42">
        <v>2451544.5</v>
      </c>
      <c r="C42" s="14" t="s">
        <v>52</v>
      </c>
      <c r="M42" s="50">
        <f>B35</f>
        <v>2.6108095362183414</v>
      </c>
      <c r="N42" s="1">
        <v>0</v>
      </c>
      <c r="O42" s="25">
        <v>18</v>
      </c>
      <c r="Q42" s="304" t="s">
        <v>43</v>
      </c>
      <c r="R42" s="305"/>
      <c r="S42" s="305"/>
      <c r="T42" s="306"/>
      <c r="V42" s="6">
        <v>2</v>
      </c>
      <c r="W42">
        <f>W41+1</f>
        <v>5</v>
      </c>
      <c r="Y42" s="3">
        <f t="shared" si="2"/>
        <v>245.21031620048257</v>
      </c>
      <c r="Z42" s="3">
        <f t="shared" si="3"/>
        <v>1.1397487980177132</v>
      </c>
      <c r="AA42" s="3">
        <f t="shared" si="4"/>
        <v>261.76325179529704</v>
      </c>
      <c r="AB42" s="3">
        <f t="shared" si="5"/>
        <v>12.579791486979417</v>
      </c>
      <c r="AC42" s="3">
        <f t="shared" si="6"/>
        <v>279.77788253446016</v>
      </c>
      <c r="AD42" s="3">
        <f t="shared" si="7"/>
        <v>22.919484936535</v>
      </c>
      <c r="AE42" s="3">
        <f t="shared" si="17"/>
        <v>295.47775716975491</v>
      </c>
      <c r="AF42" s="3">
        <f t="shared" si="18"/>
        <v>64.894729558190605</v>
      </c>
      <c r="AG42" s="3">
        <f t="shared" si="19"/>
        <v>333.19640807482199</v>
      </c>
      <c r="AH42" s="3">
        <f t="shared" si="20"/>
        <v>56.330224788620711</v>
      </c>
      <c r="AI42" s="3">
        <f t="shared" si="21"/>
        <v>353.37448400416622</v>
      </c>
      <c r="AJ42" s="7">
        <f t="shared" si="22"/>
        <v>41.191847129464179</v>
      </c>
    </row>
    <row r="43" spans="1:36" x14ac:dyDescent="0.2">
      <c r="A43" s="6" t="s">
        <v>73</v>
      </c>
      <c r="B43">
        <f>B42+B12 + 7/24 + 0.5</f>
        <v>2460733.7916666665</v>
      </c>
      <c r="C43" s="14" t="s">
        <v>52</v>
      </c>
      <c r="M43" s="50">
        <f>B35</f>
        <v>2.6108095362183414</v>
      </c>
      <c r="N43" s="1">
        <v>90</v>
      </c>
      <c r="O43" s="25"/>
      <c r="Q43" s="24">
        <v>190</v>
      </c>
      <c r="R43" s="1">
        <v>5</v>
      </c>
      <c r="S43" s="35">
        <f>T43/COS(RADIANS(R43))</f>
        <v>5.019099187716737</v>
      </c>
      <c r="T43" s="25">
        <v>5</v>
      </c>
      <c r="V43" s="6">
        <v>1</v>
      </c>
      <c r="W43">
        <f>W42+1</f>
        <v>6</v>
      </c>
      <c r="Y43" s="3">
        <f t="shared" si="2"/>
        <v>252.97096575563705</v>
      </c>
      <c r="Z43" s="3">
        <f t="shared" si="3"/>
        <v>-10.647902283000841</v>
      </c>
      <c r="AA43" s="3">
        <f t="shared" si="4"/>
        <v>270</v>
      </c>
      <c r="AB43" s="3">
        <f t="shared" si="5"/>
        <v>2.9535276312798145E-15</v>
      </c>
      <c r="AC43" s="3">
        <f t="shared" si="6"/>
        <v>287.02903424436295</v>
      </c>
      <c r="AD43" s="3">
        <f t="shared" si="7"/>
        <v>10.647902283000848</v>
      </c>
      <c r="AE43" s="3">
        <f t="shared" si="17"/>
        <v>305.45088791521931</v>
      </c>
      <c r="AF43" s="3">
        <f t="shared" si="18"/>
        <v>75.913420070000157</v>
      </c>
      <c r="AG43" s="3">
        <f t="shared" si="19"/>
        <v>344.5384197347488</v>
      </c>
      <c r="AH43" s="3">
        <f t="shared" si="20"/>
        <v>60.959918239616378</v>
      </c>
      <c r="AI43" s="3">
        <f t="shared" si="21"/>
        <v>356.51557228066997</v>
      </c>
      <c r="AJ43" s="7">
        <f t="shared" si="22"/>
        <v>42.313015982447965</v>
      </c>
    </row>
    <row r="44" spans="1:36" ht="17" thickBot="1" x14ac:dyDescent="0.25">
      <c r="A44" s="6"/>
      <c r="C44" s="14"/>
      <c r="M44" s="50">
        <f>B37</f>
        <v>12.465490015918224</v>
      </c>
      <c r="N44" s="1">
        <v>0</v>
      </c>
      <c r="O44" s="25">
        <v>18</v>
      </c>
      <c r="Q44" s="24">
        <v>190</v>
      </c>
      <c r="R44" s="1">
        <v>25</v>
      </c>
      <c r="S44" s="35">
        <f>T44/COS(RADIANS(R44))</f>
        <v>5.5168895948124588</v>
      </c>
      <c r="T44" s="25">
        <v>5</v>
      </c>
      <c r="V44" s="8">
        <v>0</v>
      </c>
      <c r="W44" s="9"/>
      <c r="X44" s="9"/>
      <c r="Y44" s="9"/>
      <c r="Z44" s="9"/>
      <c r="AA44" s="9"/>
      <c r="AB44" s="9"/>
      <c r="AC44" s="9"/>
      <c r="AD44" s="9"/>
      <c r="AE44" s="10">
        <v>360</v>
      </c>
      <c r="AF44" s="10">
        <f t="shared" si="18"/>
        <v>82.699999999999974</v>
      </c>
      <c r="AG44" s="9">
        <v>360</v>
      </c>
      <c r="AH44" s="10">
        <f t="shared" si="20"/>
        <v>62.7</v>
      </c>
      <c r="AI44" s="9">
        <v>360</v>
      </c>
      <c r="AJ44" s="11">
        <f t="shared" si="22"/>
        <v>42.7</v>
      </c>
    </row>
    <row r="45" spans="1:36" x14ac:dyDescent="0.2">
      <c r="A45" s="6" t="s">
        <v>75</v>
      </c>
      <c r="B45" s="186">
        <f xml:space="preserve"> (B43 - 2451545)/36525</f>
        <v>0.25157540497375802</v>
      </c>
      <c r="C45" s="14" t="s">
        <v>76</v>
      </c>
      <c r="M45" s="50">
        <f>B37</f>
        <v>12.465490015918224</v>
      </c>
      <c r="N45" s="1">
        <v>90</v>
      </c>
      <c r="O45" s="25"/>
      <c r="Q45" s="24">
        <v>190</v>
      </c>
      <c r="R45" s="1">
        <v>45</v>
      </c>
      <c r="S45" s="35">
        <f>T45/COS(RADIANS(R45))</f>
        <v>7.0710678118654746</v>
      </c>
      <c r="T45" s="25">
        <v>5</v>
      </c>
    </row>
    <row r="46" spans="1:36" x14ac:dyDescent="0.2">
      <c r="A46" s="6"/>
      <c r="C46" s="14"/>
      <c r="M46" s="50">
        <f>B34</f>
        <v>2.135375871853185</v>
      </c>
      <c r="N46" s="1">
        <v>0</v>
      </c>
      <c r="O46" s="25">
        <v>12</v>
      </c>
      <c r="Q46" s="24">
        <v>190</v>
      </c>
      <c r="R46" s="1">
        <v>65</v>
      </c>
      <c r="S46" s="35">
        <f>T46/COS(RADIANS(R46))</f>
        <v>11.831007915762493</v>
      </c>
      <c r="T46" s="25">
        <v>5</v>
      </c>
    </row>
    <row r="47" spans="1:36" x14ac:dyDescent="0.2">
      <c r="A47" s="6" t="s">
        <v>77</v>
      </c>
      <c r="B47" s="16">
        <f xml:space="preserve"> MOD(218.32 + 481267.881*B45 + 6.29*SIN(RADIANS(135 + 477198.87*B45)) - 1.27*SIN(RADIANS(259.3 - 413335.36*B45)) + 0.66*SIN(RADIANS(235.7 + 890534.22*B45)) + 0.21*SIN(RADIANS(269.9 + 954397.74*B45)) - 0.19*SIN(RADIANS(357.5 + 35999.05*B45)) - 0.11*SIN(RADIANS(186.5 + 966404.03*B45)),360)</f>
        <v>328.97524156505824</v>
      </c>
      <c r="C47" s="14" t="s">
        <v>4</v>
      </c>
      <c r="M47" s="50">
        <f>B34</f>
        <v>2.135375871853185</v>
      </c>
      <c r="N47" s="1">
        <v>90</v>
      </c>
      <c r="O47" s="25"/>
      <c r="Q47" s="24">
        <v>190</v>
      </c>
      <c r="R47" s="1">
        <v>82.5</v>
      </c>
      <c r="S47" s="35">
        <f>T47/COS(RADIANS(R47))</f>
        <v>38.306487877701905</v>
      </c>
      <c r="T47" s="25">
        <v>5</v>
      </c>
    </row>
    <row r="48" spans="1:36" ht="17" thickBot="1" x14ac:dyDescent="0.25">
      <c r="A48" s="6" t="s">
        <v>78</v>
      </c>
      <c r="B48" s="42">
        <f xml:space="preserve"> 5.13*SIN(RADIANS( 93.3 + 483202.02*B45)) + 0.28*SIN(RADIANS(228.2 + 960400.89*B45)) - 0.28*SIN(RADIANS(318.3 + 6003.15*B45)) - 0.17*SIN(RADIANS(217.6 - 407332.21*B45))</f>
        <v>-2.5225300722505013</v>
      </c>
      <c r="C48" s="14" t="s">
        <v>4</v>
      </c>
      <c r="M48" s="50">
        <f>B38</f>
        <v>12.94092368028338</v>
      </c>
      <c r="N48" s="1">
        <v>0</v>
      </c>
      <c r="O48" s="25">
        <v>12</v>
      </c>
      <c r="Q48" s="26">
        <v>200</v>
      </c>
      <c r="R48" s="27">
        <v>7.5</v>
      </c>
      <c r="S48" s="27" t="s">
        <v>40</v>
      </c>
      <c r="T48" s="28"/>
    </row>
    <row r="49" spans="1:34" ht="17" thickBot="1" x14ac:dyDescent="0.25">
      <c r="A49" s="6"/>
      <c r="B49" s="187"/>
      <c r="C49" s="14"/>
      <c r="M49" s="56">
        <f>B38</f>
        <v>12.94092368028338</v>
      </c>
      <c r="N49" s="27">
        <v>90</v>
      </c>
      <c r="O49" s="28"/>
    </row>
    <row r="50" spans="1:34" ht="17" thickBot="1" x14ac:dyDescent="0.25">
      <c r="A50" s="6" t="s">
        <v>79</v>
      </c>
      <c r="B50" s="188">
        <f xml:space="preserve"> COS(RADIANS(B48)) * COS(RADIANS(B47))</f>
        <v>0.85611427828070008</v>
      </c>
      <c r="C50" s="14" t="s">
        <v>17</v>
      </c>
    </row>
    <row r="51" spans="1:34" ht="17" thickBot="1" x14ac:dyDescent="0.25">
      <c r="A51" s="6" t="s">
        <v>70</v>
      </c>
      <c r="B51" s="188">
        <f xml:space="preserve"> 0.9175*COS(RADIANS(B48))*SIN(RADIANS(B47)) - 0.3978*SIN(RADIANS(B48))</f>
        <v>-0.45492092984004917</v>
      </c>
      <c r="C51" s="14" t="s">
        <v>17</v>
      </c>
      <c r="U51" s="307" t="s">
        <v>107</v>
      </c>
      <c r="V51" s="308"/>
      <c r="W51" s="309"/>
    </row>
    <row r="52" spans="1:34" ht="17" thickBot="1" x14ac:dyDescent="0.25">
      <c r="A52" s="6" t="s">
        <v>71</v>
      </c>
      <c r="B52" s="188">
        <f>0.3978*COS(RADIANS(B48))*SIN(RADIANS(B47)) + 0.9175*SIN(RADIANS(B48))</f>
        <v>-0.24521201976860862</v>
      </c>
      <c r="C52" s="14" t="s">
        <v>17</v>
      </c>
      <c r="M52" s="1"/>
      <c r="N52" s="1"/>
      <c r="O52" s="1"/>
    </row>
    <row r="53" spans="1:34" ht="17" thickBot="1" x14ac:dyDescent="0.25">
      <c r="A53" s="6"/>
      <c r="C53" s="14"/>
      <c r="M53" s="307" t="s">
        <v>100</v>
      </c>
      <c r="N53" s="308"/>
      <c r="O53" s="308"/>
      <c r="P53" s="309"/>
      <c r="R53" s="69" t="s">
        <v>95</v>
      </c>
      <c r="S53" s="79">
        <v>0</v>
      </c>
      <c r="T53" s="80">
        <v>0</v>
      </c>
      <c r="U53" s="81"/>
      <c r="V53" s="80"/>
      <c r="W53" s="70" t="s">
        <v>28</v>
      </c>
      <c r="X53" s="80"/>
      <c r="Y53" s="338" t="s">
        <v>101</v>
      </c>
      <c r="Z53" s="338"/>
      <c r="AA53" s="338"/>
      <c r="AB53" s="338"/>
      <c r="AC53" s="80"/>
      <c r="AD53" s="82"/>
      <c r="AF53" s="307" t="s">
        <v>99</v>
      </c>
      <c r="AG53" s="308"/>
      <c r="AH53" s="309"/>
    </row>
    <row r="54" spans="1:34" x14ac:dyDescent="0.2">
      <c r="A54" s="6" t="s">
        <v>80</v>
      </c>
      <c r="B54" s="42">
        <f>MOD(180/PI()*ATAN2(B50,B51),360)</f>
        <v>332.01477304822032</v>
      </c>
      <c r="C54" s="14" t="s">
        <v>4</v>
      </c>
      <c r="M54" s="24">
        <v>1.1000000000000001</v>
      </c>
      <c r="N54" s="75" t="s">
        <v>5</v>
      </c>
      <c r="O54" s="75" t="s">
        <v>28</v>
      </c>
      <c r="P54" s="76" t="s">
        <v>29</v>
      </c>
      <c r="R54" s="83" t="s">
        <v>94</v>
      </c>
      <c r="S54" s="62">
        <v>0</v>
      </c>
      <c r="T54" s="60">
        <v>30</v>
      </c>
      <c r="U54" s="60">
        <v>60</v>
      </c>
      <c r="V54" s="60">
        <v>90</v>
      </c>
      <c r="W54" s="60">
        <v>120</v>
      </c>
      <c r="X54" s="60">
        <v>150</v>
      </c>
      <c r="Y54" s="67">
        <v>180</v>
      </c>
      <c r="Z54" s="67">
        <v>210</v>
      </c>
      <c r="AA54" s="67">
        <v>240</v>
      </c>
      <c r="AB54" s="67">
        <v>270</v>
      </c>
      <c r="AC54" s="61">
        <v>300</v>
      </c>
      <c r="AD54" s="84">
        <v>330</v>
      </c>
      <c r="AF54" s="90" t="s">
        <v>96</v>
      </c>
      <c r="AG54" s="93">
        <v>192.85</v>
      </c>
      <c r="AH54" s="91" t="s">
        <v>4</v>
      </c>
    </row>
    <row r="55" spans="1:34" x14ac:dyDescent="0.2">
      <c r="A55" s="6" t="s">
        <v>80</v>
      </c>
      <c r="B55" s="16">
        <f>B54/15</f>
        <v>22.134318203214686</v>
      </c>
      <c r="C55" s="14" t="s">
        <v>3</v>
      </c>
      <c r="M55" s="77" t="s">
        <v>86</v>
      </c>
      <c r="N55" s="1">
        <v>0</v>
      </c>
      <c r="O55" s="16">
        <f t="shared" ref="O55:O62" si="23">$M$54*SIN(RADIANS(-N55))</f>
        <v>0</v>
      </c>
      <c r="P55" s="66">
        <f t="shared" ref="P55:P62" si="24">$M$54*COS(RADIANS(N55))</f>
        <v>1.1000000000000001</v>
      </c>
      <c r="R55" s="73">
        <v>0</v>
      </c>
      <c r="S55" s="85">
        <f t="shared" ref="S55:AD55" si="25">(90-$R$55)/90*SIN(RADIANS(S54))</f>
        <v>0</v>
      </c>
      <c r="T55" s="85">
        <f t="shared" si="25"/>
        <v>0.49999999999999994</v>
      </c>
      <c r="U55" s="85">
        <f t="shared" si="25"/>
        <v>0.8660254037844386</v>
      </c>
      <c r="V55" s="85">
        <f t="shared" si="25"/>
        <v>1</v>
      </c>
      <c r="W55" s="85">
        <f t="shared" si="25"/>
        <v>0.86602540378443871</v>
      </c>
      <c r="X55" s="85">
        <f t="shared" si="25"/>
        <v>0.49999999999999994</v>
      </c>
      <c r="Y55" s="85">
        <f t="shared" si="25"/>
        <v>1.22514845490862E-16</v>
      </c>
      <c r="Z55" s="85">
        <f t="shared" si="25"/>
        <v>-0.50000000000000011</v>
      </c>
      <c r="AA55" s="85">
        <f t="shared" si="25"/>
        <v>-0.86602540378443837</v>
      </c>
      <c r="AB55" s="85">
        <f t="shared" si="25"/>
        <v>-1</v>
      </c>
      <c r="AC55" s="85">
        <f t="shared" si="25"/>
        <v>-0.8660254037844386</v>
      </c>
      <c r="AD55" s="86">
        <f t="shared" si="25"/>
        <v>-0.50000000000000044</v>
      </c>
      <c r="AF55" s="6" t="s">
        <v>97</v>
      </c>
      <c r="AG55" s="3">
        <v>27.13</v>
      </c>
      <c r="AH55" s="14" t="s">
        <v>4</v>
      </c>
    </row>
    <row r="56" spans="1:34" x14ac:dyDescent="0.2">
      <c r="A56" s="6" t="s">
        <v>81</v>
      </c>
      <c r="B56" s="42">
        <f>180/PI()*ASIN(B52)</f>
        <v>-14.194363779631127</v>
      </c>
      <c r="C56" s="14" t="s">
        <v>4</v>
      </c>
      <c r="M56" s="77" t="s">
        <v>87</v>
      </c>
      <c r="N56" s="1">
        <v>45</v>
      </c>
      <c r="O56" s="16">
        <f t="shared" si="23"/>
        <v>-0.7778174593052023</v>
      </c>
      <c r="P56" s="66">
        <f t="shared" si="24"/>
        <v>0.77781745930520241</v>
      </c>
      <c r="R56" s="73">
        <v>20</v>
      </c>
      <c r="S56" s="85">
        <f t="shared" ref="S56:AD56" si="26">(90-$R$56)/90*SIN(RADIANS(S54))</f>
        <v>0</v>
      </c>
      <c r="T56" s="85">
        <f t="shared" si="26"/>
        <v>0.38888888888888884</v>
      </c>
      <c r="U56" s="85">
        <f t="shared" si="26"/>
        <v>0.67357531405456339</v>
      </c>
      <c r="V56" s="85">
        <f t="shared" si="26"/>
        <v>0.77777777777777779</v>
      </c>
      <c r="W56" s="85">
        <f t="shared" si="26"/>
        <v>0.6735753140545635</v>
      </c>
      <c r="X56" s="85">
        <f t="shared" si="26"/>
        <v>0.38888888888888884</v>
      </c>
      <c r="Y56" s="85">
        <f t="shared" si="26"/>
        <v>9.5289324270670448E-17</v>
      </c>
      <c r="Z56" s="85">
        <f t="shared" si="26"/>
        <v>-0.38888888888888901</v>
      </c>
      <c r="AA56" s="85">
        <f t="shared" si="26"/>
        <v>-0.67357531405456317</v>
      </c>
      <c r="AB56" s="85">
        <f t="shared" si="26"/>
        <v>-0.77777777777777779</v>
      </c>
      <c r="AC56" s="85">
        <f t="shared" si="26"/>
        <v>-0.67357531405456339</v>
      </c>
      <c r="AD56" s="86">
        <f t="shared" si="26"/>
        <v>-0.38888888888888923</v>
      </c>
      <c r="AF56" s="6" t="s">
        <v>38</v>
      </c>
      <c r="AG56" t="s">
        <v>2</v>
      </c>
      <c r="AH56" s="14" t="s">
        <v>1</v>
      </c>
    </row>
    <row r="57" spans="1:34" x14ac:dyDescent="0.2">
      <c r="A57" s="6"/>
      <c r="C57" s="14"/>
      <c r="M57" s="77" t="s">
        <v>88</v>
      </c>
      <c r="N57" s="1">
        <v>90</v>
      </c>
      <c r="O57" s="16">
        <f t="shared" si="23"/>
        <v>-1.1000000000000001</v>
      </c>
      <c r="P57" s="66">
        <f t="shared" si="24"/>
        <v>6.7383165019974101E-17</v>
      </c>
      <c r="R57" s="73">
        <v>40</v>
      </c>
      <c r="S57" s="85">
        <f t="shared" ref="S57:AD57" si="27">(90-$R$57)/90*SIN(RADIANS(S54))</f>
        <v>0</v>
      </c>
      <c r="T57" s="85">
        <f t="shared" si="27"/>
        <v>0.27777777777777773</v>
      </c>
      <c r="U57" s="85">
        <f t="shared" si="27"/>
        <v>0.48112522432468813</v>
      </c>
      <c r="V57" s="85">
        <f t="shared" si="27"/>
        <v>0.55555555555555558</v>
      </c>
      <c r="W57" s="85">
        <f t="shared" si="27"/>
        <v>0.48112522432468818</v>
      </c>
      <c r="X57" s="85">
        <f t="shared" si="27"/>
        <v>0.27777777777777773</v>
      </c>
      <c r="Y57" s="85">
        <f t="shared" si="27"/>
        <v>6.8063803050478895E-17</v>
      </c>
      <c r="Z57" s="85">
        <f t="shared" si="27"/>
        <v>-0.27777777777777785</v>
      </c>
      <c r="AA57" s="85">
        <f t="shared" si="27"/>
        <v>-0.48112522432468802</v>
      </c>
      <c r="AB57" s="85">
        <f t="shared" si="27"/>
        <v>-0.55555555555555558</v>
      </c>
      <c r="AC57" s="85">
        <f t="shared" si="27"/>
        <v>-0.48112522432468813</v>
      </c>
      <c r="AD57" s="86">
        <f t="shared" si="27"/>
        <v>-0.27777777777777801</v>
      </c>
      <c r="AF57" s="73">
        <v>0</v>
      </c>
      <c r="AG57" s="3">
        <f t="shared" ref="AG57:AG69" si="28">MOD($AG$54+180/PI()*ATAN2(-SIN(RADIANS($AG$55))*COS(RADIANS(AF57)),SIN(RADIANS(AF57))),360)</f>
        <v>12.850000000000023</v>
      </c>
      <c r="AH57" s="7">
        <f t="shared" ref="AH57:AH69" si="29">180/PI()*ASIN(COS(RADIANS($AG$55))*COS(RADIANS(AF57)))</f>
        <v>62.870000000000005</v>
      </c>
    </row>
    <row r="58" spans="1:34" x14ac:dyDescent="0.2">
      <c r="A58" s="6" t="s">
        <v>82</v>
      </c>
      <c r="B58" s="3">
        <f>180/PI()*ACOS(SIN(RADIANS(B56))*SIN(RADIANS(B19)) + COS(RADIANS(B56))*COS(RADIANS(B19))*COS(RADIANS(B54-B18)))</f>
        <v>9.9900605666627076</v>
      </c>
      <c r="C58" s="14" t="s">
        <v>4</v>
      </c>
      <c r="M58" s="77" t="s">
        <v>89</v>
      </c>
      <c r="N58" s="1">
        <v>135</v>
      </c>
      <c r="O58" s="16">
        <f t="shared" si="23"/>
        <v>-0.77781745930520241</v>
      </c>
      <c r="P58" s="66">
        <f t="shared" si="24"/>
        <v>-0.7778174593052023</v>
      </c>
      <c r="R58" s="73">
        <v>60</v>
      </c>
      <c r="S58" s="85">
        <f t="shared" ref="S58:AD58" si="30">(90-$R$58)/90*SIN(RADIANS(S54))</f>
        <v>0</v>
      </c>
      <c r="T58" s="85">
        <f t="shared" si="30"/>
        <v>0.16666666666666663</v>
      </c>
      <c r="U58" s="85">
        <f t="shared" si="30"/>
        <v>0.28867513459481287</v>
      </c>
      <c r="V58" s="85">
        <f t="shared" si="30"/>
        <v>0.33333333333333331</v>
      </c>
      <c r="W58" s="85">
        <f t="shared" si="30"/>
        <v>0.28867513459481287</v>
      </c>
      <c r="X58" s="85">
        <f t="shared" si="30"/>
        <v>0.16666666666666663</v>
      </c>
      <c r="Y58" s="85">
        <f t="shared" si="30"/>
        <v>4.083828183028733E-17</v>
      </c>
      <c r="Z58" s="85">
        <f t="shared" si="30"/>
        <v>-0.16666666666666669</v>
      </c>
      <c r="AA58" s="85">
        <f t="shared" si="30"/>
        <v>-0.28867513459481275</v>
      </c>
      <c r="AB58" s="85">
        <f t="shared" si="30"/>
        <v>-0.33333333333333331</v>
      </c>
      <c r="AC58" s="85">
        <f t="shared" si="30"/>
        <v>-0.28867513459481287</v>
      </c>
      <c r="AD58" s="86">
        <f t="shared" si="30"/>
        <v>-0.1666666666666668</v>
      </c>
      <c r="AF58" s="73">
        <v>30</v>
      </c>
      <c r="AG58" s="3">
        <f t="shared" si="28"/>
        <v>321.1528841585129</v>
      </c>
      <c r="AH58" s="7">
        <f t="shared" si="29"/>
        <v>50.420407571086933</v>
      </c>
    </row>
    <row r="59" spans="1:34" ht="17" thickBot="1" x14ac:dyDescent="0.25">
      <c r="A59" s="8" t="s">
        <v>200</v>
      </c>
      <c r="B59" s="43">
        <f>0.5*(1-COS(RADIANS(B58)) )</f>
        <v>7.5810690216125409E-3</v>
      </c>
      <c r="C59" s="15" t="s">
        <v>17</v>
      </c>
      <c r="M59" s="77" t="s">
        <v>93</v>
      </c>
      <c r="N59" s="1">
        <v>180</v>
      </c>
      <c r="O59" s="16">
        <f t="shared" si="23"/>
        <v>-1.347663300399482E-16</v>
      </c>
      <c r="P59" s="66">
        <f t="shared" si="24"/>
        <v>-1.1000000000000001</v>
      </c>
      <c r="R59" s="87">
        <v>80</v>
      </c>
      <c r="S59" s="88">
        <f t="shared" ref="S59:AD59" si="31">(90-$R$59)/90*SIN(RADIANS(S54))</f>
        <v>0</v>
      </c>
      <c r="T59" s="88">
        <f t="shared" si="31"/>
        <v>5.5555555555555546E-2</v>
      </c>
      <c r="U59" s="88">
        <f t="shared" si="31"/>
        <v>9.6225044864937617E-2</v>
      </c>
      <c r="V59" s="88">
        <f t="shared" si="31"/>
        <v>0.1111111111111111</v>
      </c>
      <c r="W59" s="88">
        <f t="shared" si="31"/>
        <v>9.6225044864937631E-2</v>
      </c>
      <c r="X59" s="88">
        <f t="shared" si="31"/>
        <v>5.5555555555555546E-2</v>
      </c>
      <c r="Y59" s="88">
        <f t="shared" si="31"/>
        <v>1.3612760610095777E-17</v>
      </c>
      <c r="Z59" s="88">
        <f t="shared" si="31"/>
        <v>-5.5555555555555566E-2</v>
      </c>
      <c r="AA59" s="88">
        <f t="shared" si="31"/>
        <v>-9.6225044864937589E-2</v>
      </c>
      <c r="AB59" s="88">
        <f t="shared" si="31"/>
        <v>-0.1111111111111111</v>
      </c>
      <c r="AC59" s="88">
        <f t="shared" si="31"/>
        <v>-9.6225044864937617E-2</v>
      </c>
      <c r="AD59" s="89">
        <f t="shared" si="31"/>
        <v>-5.5555555555555601E-2</v>
      </c>
      <c r="AF59" s="73">
        <v>60</v>
      </c>
      <c r="AG59" s="3">
        <f t="shared" si="28"/>
        <v>297.60000115487281</v>
      </c>
      <c r="AH59" s="7">
        <f t="shared" si="29"/>
        <v>26.422512145916812</v>
      </c>
    </row>
    <row r="60" spans="1:34" ht="17" thickBot="1" x14ac:dyDescent="0.25">
      <c r="M60" s="77" t="s">
        <v>90</v>
      </c>
      <c r="N60" s="1">
        <v>225</v>
      </c>
      <c r="O60" s="16">
        <f t="shared" si="23"/>
        <v>0.7778174593052023</v>
      </c>
      <c r="P60" s="66">
        <f t="shared" si="24"/>
        <v>-0.77781745930520252</v>
      </c>
      <c r="AF60" s="73">
        <v>90</v>
      </c>
      <c r="AG60" s="3">
        <f t="shared" si="28"/>
        <v>282.85000000000002</v>
      </c>
      <c r="AH60" s="7">
        <f t="shared" si="29"/>
        <v>3.1236239969854447E-15</v>
      </c>
    </row>
    <row r="61" spans="1:34" x14ac:dyDescent="0.2">
      <c r="A61" s="280" t="s">
        <v>210</v>
      </c>
      <c r="B61" s="281"/>
      <c r="C61" s="282"/>
      <c r="M61" s="77" t="s">
        <v>91</v>
      </c>
      <c r="N61" s="1">
        <v>270</v>
      </c>
      <c r="O61" s="16">
        <f t="shared" si="23"/>
        <v>1.1000000000000001</v>
      </c>
      <c r="P61" s="66">
        <f t="shared" si="24"/>
        <v>-2.0214949505992233E-16</v>
      </c>
      <c r="R61" s="90"/>
      <c r="S61" s="81"/>
      <c r="T61" s="81"/>
      <c r="U61" s="81"/>
      <c r="V61" s="81"/>
      <c r="W61" s="70" t="s">
        <v>29</v>
      </c>
      <c r="X61" s="81"/>
      <c r="Y61" s="338" t="s">
        <v>101</v>
      </c>
      <c r="Z61" s="338"/>
      <c r="AA61" s="338"/>
      <c r="AB61" s="338"/>
      <c r="AC61" s="81"/>
      <c r="AD61" s="91"/>
      <c r="AF61" s="73">
        <v>120</v>
      </c>
      <c r="AG61" s="3">
        <f t="shared" si="28"/>
        <v>268.09999884512717</v>
      </c>
      <c r="AH61" s="7">
        <f t="shared" si="29"/>
        <v>-26.422512145916791</v>
      </c>
    </row>
    <row r="62" spans="1:34" ht="17" thickBot="1" x14ac:dyDescent="0.25">
      <c r="A62" s="6" t="s">
        <v>208</v>
      </c>
      <c r="B62" s="195">
        <f>10^(-0.4*(3.84+0.026*ABS(180-B58) + "4E-9"*(180-B58)^4) )</f>
        <v>2.2869047413321235E-5</v>
      </c>
      <c r="C62" s="14" t="s">
        <v>214</v>
      </c>
      <c r="M62" s="74" t="s">
        <v>92</v>
      </c>
      <c r="N62" s="27">
        <v>315</v>
      </c>
      <c r="O62" s="43">
        <f t="shared" si="23"/>
        <v>0.77781745930520252</v>
      </c>
      <c r="P62" s="78">
        <f t="shared" si="24"/>
        <v>0.77781745930520219</v>
      </c>
      <c r="R62" s="83" t="s">
        <v>94</v>
      </c>
      <c r="S62" s="62">
        <v>0</v>
      </c>
      <c r="T62" s="60">
        <v>30</v>
      </c>
      <c r="U62" s="60">
        <v>60</v>
      </c>
      <c r="V62" s="60">
        <v>90</v>
      </c>
      <c r="W62" s="60">
        <v>120</v>
      </c>
      <c r="X62" s="60">
        <v>150</v>
      </c>
      <c r="Y62" s="67">
        <v>180</v>
      </c>
      <c r="Z62" s="67">
        <v>210</v>
      </c>
      <c r="AA62" s="67">
        <v>240</v>
      </c>
      <c r="AB62" s="67">
        <v>270</v>
      </c>
      <c r="AC62" s="61">
        <v>300</v>
      </c>
      <c r="AD62" s="84">
        <v>330</v>
      </c>
      <c r="AF62" s="73">
        <v>150</v>
      </c>
      <c r="AG62" s="3">
        <f t="shared" si="28"/>
        <v>244.54711584148708</v>
      </c>
      <c r="AH62" s="7">
        <f t="shared" si="29"/>
        <v>-50.420407571086933</v>
      </c>
    </row>
    <row r="63" spans="1:34" ht="19" thickBot="1" x14ac:dyDescent="0.3">
      <c r="A63" s="8" t="s">
        <v>209</v>
      </c>
      <c r="B63" s="206">
        <v>0.14299999999999999</v>
      </c>
      <c r="C63" s="15" t="s">
        <v>204</v>
      </c>
      <c r="R63" s="73">
        <v>0</v>
      </c>
      <c r="S63" s="85">
        <f t="shared" ref="S63:AD63" si="32">(90-$R$63)/90*COS(RADIANS(S62))</f>
        <v>1</v>
      </c>
      <c r="T63" s="85">
        <f t="shared" si="32"/>
        <v>0.86602540378443871</v>
      </c>
      <c r="U63" s="85">
        <f t="shared" si="32"/>
        <v>0.50000000000000011</v>
      </c>
      <c r="V63" s="85">
        <f t="shared" si="32"/>
        <v>6.1257422745431001E-17</v>
      </c>
      <c r="W63" s="85">
        <f t="shared" si="32"/>
        <v>-0.49999999999999978</v>
      </c>
      <c r="X63" s="85">
        <f t="shared" si="32"/>
        <v>-0.86602540378443871</v>
      </c>
      <c r="Y63" s="85">
        <f t="shared" si="32"/>
        <v>-1</v>
      </c>
      <c r="Z63" s="85">
        <f t="shared" si="32"/>
        <v>-0.8660254037844386</v>
      </c>
      <c r="AA63" s="85">
        <f t="shared" si="32"/>
        <v>-0.50000000000000044</v>
      </c>
      <c r="AB63" s="85">
        <f t="shared" si="32"/>
        <v>-1.83772268236293E-16</v>
      </c>
      <c r="AC63" s="85">
        <f t="shared" si="32"/>
        <v>0.50000000000000011</v>
      </c>
      <c r="AD63" s="86">
        <f t="shared" si="32"/>
        <v>0.86602540378443837</v>
      </c>
      <c r="AF63" s="73">
        <v>180</v>
      </c>
      <c r="AG63" s="3">
        <f t="shared" si="28"/>
        <v>192.85000000000002</v>
      </c>
      <c r="AH63" s="7">
        <f t="shared" si="29"/>
        <v>-62.870000000000005</v>
      </c>
    </row>
    <row r="64" spans="1:34" x14ac:dyDescent="0.2">
      <c r="M64" s="103">
        <v>-0.9</v>
      </c>
      <c r="N64" s="104">
        <v>1.08</v>
      </c>
      <c r="O64" s="105" t="s">
        <v>109</v>
      </c>
      <c r="P64" s="106"/>
      <c r="R64" s="73">
        <v>20</v>
      </c>
      <c r="S64" s="85">
        <f t="shared" ref="S64:AD64" si="33">(90-$R$64)/90*COS(RADIANS(S62))</f>
        <v>0.77777777777777779</v>
      </c>
      <c r="T64" s="85">
        <f t="shared" si="33"/>
        <v>0.6735753140545635</v>
      </c>
      <c r="U64" s="85">
        <f t="shared" si="33"/>
        <v>0.38888888888888901</v>
      </c>
      <c r="V64" s="85">
        <f t="shared" si="33"/>
        <v>4.7644662135335224E-17</v>
      </c>
      <c r="W64" s="85">
        <f t="shared" si="33"/>
        <v>-0.38888888888888873</v>
      </c>
      <c r="X64" s="85">
        <f t="shared" si="33"/>
        <v>-0.6735753140545635</v>
      </c>
      <c r="Y64" s="85">
        <f t="shared" si="33"/>
        <v>-0.77777777777777779</v>
      </c>
      <c r="Z64" s="85">
        <f t="shared" si="33"/>
        <v>-0.67357531405456339</v>
      </c>
      <c r="AA64" s="85">
        <f t="shared" si="33"/>
        <v>-0.38888888888888923</v>
      </c>
      <c r="AB64" s="85">
        <f t="shared" si="33"/>
        <v>-1.4293398640600566E-16</v>
      </c>
      <c r="AC64" s="85">
        <f t="shared" si="33"/>
        <v>0.38888888888888901</v>
      </c>
      <c r="AD64" s="86">
        <f t="shared" si="33"/>
        <v>0.67357531405456317</v>
      </c>
      <c r="AF64" s="73">
        <v>210</v>
      </c>
      <c r="AG64" s="3">
        <f t="shared" si="28"/>
        <v>141.15288415851288</v>
      </c>
      <c r="AH64" s="7">
        <f t="shared" si="29"/>
        <v>-50.420407571086926</v>
      </c>
    </row>
    <row r="65" spans="13:34" x14ac:dyDescent="0.2">
      <c r="M65" s="107">
        <v>0</v>
      </c>
      <c r="N65" s="16">
        <f>(90 - $B$3)/90</f>
        <v>0.6366666666666666</v>
      </c>
      <c r="O65" s="1" t="s">
        <v>110</v>
      </c>
      <c r="P65" s="108"/>
      <c r="R65" s="73">
        <v>40</v>
      </c>
      <c r="S65" s="85">
        <f t="shared" ref="S65:AD65" si="34">(90-$R$65)/90*COS(RADIANS(S62))</f>
        <v>0.55555555555555558</v>
      </c>
      <c r="T65" s="85">
        <f t="shared" si="34"/>
        <v>0.48112522432468818</v>
      </c>
      <c r="U65" s="85">
        <f t="shared" si="34"/>
        <v>0.27777777777777785</v>
      </c>
      <c r="V65" s="85">
        <f t="shared" si="34"/>
        <v>3.4031901525239447E-17</v>
      </c>
      <c r="W65" s="85">
        <f t="shared" si="34"/>
        <v>-0.27777777777777768</v>
      </c>
      <c r="X65" s="85">
        <f t="shared" si="34"/>
        <v>-0.48112522432468818</v>
      </c>
      <c r="Y65" s="85">
        <f t="shared" si="34"/>
        <v>-0.55555555555555558</v>
      </c>
      <c r="Z65" s="85">
        <f t="shared" si="34"/>
        <v>-0.48112522432468813</v>
      </c>
      <c r="AA65" s="85">
        <f t="shared" si="34"/>
        <v>-0.27777777777777801</v>
      </c>
      <c r="AB65" s="85">
        <f t="shared" si="34"/>
        <v>-1.0209570457571834E-16</v>
      </c>
      <c r="AC65" s="85">
        <f t="shared" si="34"/>
        <v>0.27777777777777785</v>
      </c>
      <c r="AD65" s="86">
        <f t="shared" si="34"/>
        <v>0.48112522432468802</v>
      </c>
      <c r="AF65" s="73">
        <v>240</v>
      </c>
      <c r="AG65" s="3">
        <f t="shared" si="28"/>
        <v>117.60000115487283</v>
      </c>
      <c r="AH65" s="7">
        <f t="shared" si="29"/>
        <v>-26.422512145916826</v>
      </c>
    </row>
    <row r="66" spans="13:34" x14ac:dyDescent="0.2">
      <c r="M66" s="107">
        <v>0</v>
      </c>
      <c r="N66" s="1">
        <v>-1</v>
      </c>
      <c r="O66" t="s">
        <v>128</v>
      </c>
      <c r="P66" s="108"/>
      <c r="R66" s="73">
        <v>60</v>
      </c>
      <c r="S66" s="85">
        <f t="shared" ref="S66:AD66" si="35">(90-$R$66)/90*COS(RADIANS(S62))</f>
        <v>0.33333333333333331</v>
      </c>
      <c r="T66" s="85">
        <f t="shared" si="35"/>
        <v>0.28867513459481287</v>
      </c>
      <c r="U66" s="85">
        <f t="shared" si="35"/>
        <v>0.16666666666666669</v>
      </c>
      <c r="V66" s="85">
        <f t="shared" si="35"/>
        <v>2.0419140915143665E-17</v>
      </c>
      <c r="W66" s="85">
        <f t="shared" si="35"/>
        <v>-0.16666666666666657</v>
      </c>
      <c r="X66" s="85">
        <f t="shared" si="35"/>
        <v>-0.28867513459481287</v>
      </c>
      <c r="Y66" s="85">
        <f t="shared" si="35"/>
        <v>-0.33333333333333331</v>
      </c>
      <c r="Z66" s="85">
        <f t="shared" si="35"/>
        <v>-0.28867513459481287</v>
      </c>
      <c r="AA66" s="85">
        <f t="shared" si="35"/>
        <v>-0.1666666666666668</v>
      </c>
      <c r="AB66" s="85">
        <f t="shared" si="35"/>
        <v>-6.1257422745431001E-17</v>
      </c>
      <c r="AC66" s="85">
        <f t="shared" si="35"/>
        <v>0.16666666666666669</v>
      </c>
      <c r="AD66" s="86">
        <f t="shared" si="35"/>
        <v>0.28867513459481275</v>
      </c>
      <c r="AF66" s="73">
        <v>270</v>
      </c>
      <c r="AG66" s="3">
        <f t="shared" si="28"/>
        <v>102.85</v>
      </c>
      <c r="AH66" s="7">
        <f t="shared" si="29"/>
        <v>-9.3708719909563341E-15</v>
      </c>
    </row>
    <row r="67" spans="13:34" ht="17" thickBot="1" x14ac:dyDescent="0.25">
      <c r="M67" s="109">
        <v>0</v>
      </c>
      <c r="N67" s="110">
        <v>1</v>
      </c>
      <c r="O67" s="111"/>
      <c r="P67" s="112"/>
      <c r="R67" s="87">
        <v>80</v>
      </c>
      <c r="S67" s="88">
        <f t="shared" ref="S67:AD67" si="36">(90-$R$67)/90*COS(RADIANS(S62))</f>
        <v>0.1111111111111111</v>
      </c>
      <c r="T67" s="88">
        <f t="shared" si="36"/>
        <v>9.6225044864937631E-2</v>
      </c>
      <c r="U67" s="88">
        <f t="shared" si="36"/>
        <v>5.5555555555555566E-2</v>
      </c>
      <c r="V67" s="88">
        <f t="shared" si="36"/>
        <v>6.8063803050478883E-18</v>
      </c>
      <c r="W67" s="88">
        <f t="shared" si="36"/>
        <v>-5.5555555555555525E-2</v>
      </c>
      <c r="X67" s="88">
        <f t="shared" si="36"/>
        <v>-9.6225044864937631E-2</v>
      </c>
      <c r="Y67" s="88">
        <f t="shared" si="36"/>
        <v>-0.1111111111111111</v>
      </c>
      <c r="Z67" s="88">
        <f t="shared" si="36"/>
        <v>-9.6225044864937617E-2</v>
      </c>
      <c r="AA67" s="88">
        <f t="shared" si="36"/>
        <v>-5.5555555555555601E-2</v>
      </c>
      <c r="AB67" s="88">
        <f t="shared" si="36"/>
        <v>-2.0419140915143665E-17</v>
      </c>
      <c r="AC67" s="88">
        <f t="shared" si="36"/>
        <v>5.5555555555555566E-2</v>
      </c>
      <c r="AD67" s="89">
        <f t="shared" si="36"/>
        <v>9.6225044864937589E-2</v>
      </c>
      <c r="AF67" s="73">
        <v>300</v>
      </c>
      <c r="AG67" s="3">
        <f t="shared" si="28"/>
        <v>88.099998845127175</v>
      </c>
      <c r="AH67" s="7">
        <f t="shared" si="29"/>
        <v>26.422512145916812</v>
      </c>
    </row>
    <row r="68" spans="13:34" x14ac:dyDescent="0.2">
      <c r="AF68" s="73">
        <v>330</v>
      </c>
      <c r="AG68" s="3">
        <f t="shared" si="28"/>
        <v>64.547115841487141</v>
      </c>
      <c r="AH68" s="7">
        <f t="shared" si="29"/>
        <v>50.420407571086898</v>
      </c>
    </row>
    <row r="69" spans="13:34" x14ac:dyDescent="0.2">
      <c r="AF69" s="73">
        <v>360</v>
      </c>
      <c r="AG69" s="3">
        <f t="shared" si="28"/>
        <v>12.850000000000023</v>
      </c>
      <c r="AH69" s="7">
        <f t="shared" si="29"/>
        <v>62.870000000000005</v>
      </c>
    </row>
    <row r="70" spans="13:34" ht="17" thickBot="1" x14ac:dyDescent="0.25">
      <c r="AF70" s="74" t="s">
        <v>98</v>
      </c>
      <c r="AG70" s="9">
        <v>266.39999999999998</v>
      </c>
      <c r="AH70" s="15">
        <v>-28.9</v>
      </c>
    </row>
  </sheetData>
  <mergeCells count="20">
    <mergeCell ref="A2:C2"/>
    <mergeCell ref="M3:Q3"/>
    <mergeCell ref="Q2:S2"/>
    <mergeCell ref="A61:C61"/>
    <mergeCell ref="Y61:AB61"/>
    <mergeCell ref="M29:O29"/>
    <mergeCell ref="Q42:T42"/>
    <mergeCell ref="Q29:S29"/>
    <mergeCell ref="AF53:AH53"/>
    <mergeCell ref="S3:U3"/>
    <mergeCell ref="A25:C25"/>
    <mergeCell ref="A41:C41"/>
    <mergeCell ref="T27:V27"/>
    <mergeCell ref="U51:W51"/>
    <mergeCell ref="A21:C21"/>
    <mergeCell ref="A11:C11"/>
    <mergeCell ref="S19:V19"/>
    <mergeCell ref="AA28:AE28"/>
    <mergeCell ref="M53:P53"/>
    <mergeCell ref="Y53:AB53"/>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vt:lpstr>
      <vt:lpstr>Notes</vt:lpstr>
      <vt:lpstr>MODS</vt:lpstr>
      <vt:lpstr>LUCI</vt:lpstr>
      <vt:lpstr>LBC</vt:lpstr>
      <vt:lpstr>PEPSI</vt:lpstr>
      <vt:lpstr>RA-Dec</vt:lpstr>
      <vt:lpstr>AtmDisp</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Whittle, Mark (dmw8f)</dc:creator>
  <cp:lastModifiedBy>Whittle, Mark (dmw8f)</cp:lastModifiedBy>
  <dcterms:created xsi:type="dcterms:W3CDTF">2024-05-20T11:50:26Z</dcterms:created>
  <dcterms:modified xsi:type="dcterms:W3CDTF">2025-02-27T04:48:12Z</dcterms:modified>
</cp:coreProperties>
</file>