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ifan Chen\Desktop\Semester2\wind\part2\ash\3\"/>
    </mc:Choice>
  </mc:AlternateContent>
  <xr:revisionPtr revIDLastSave="0" documentId="13_ncr:1_{60F672D9-8706-4518-9ABB-02F07A0B0343}" xr6:coauthVersionLast="47" xr6:coauthVersionMax="47" xr10:uidLastSave="{00000000-0000-0000-0000-000000000000}"/>
  <bookViews>
    <workbookView xWindow="-28920" yWindow="3180" windowWidth="29040" windowHeight="15720" xr2:uid="{00000000-000D-0000-FFFF-FFFF00000000}"/>
  </bookViews>
  <sheets>
    <sheet name="Summary" sheetId="27" r:id="rId1"/>
    <sheet name="Sheet2" sheetId="28" r:id="rId2"/>
    <sheet name="Blade design" sheetId="10" r:id="rId3"/>
    <sheet name="Tower design" sheetId="22" r:id="rId4"/>
    <sheet name="Generator design" sheetId="19" r:id="rId5"/>
    <sheet name="Foundation design" sheetId="15" r:id="rId6"/>
    <sheet name="Energy Yield" sheetId="21" r:id="rId7"/>
    <sheet name="Controller Design" sheetId="4" r:id="rId8"/>
    <sheet name="Curves" sheetId="24" r:id="rId9"/>
    <sheet name="Cost" sheetId="26" r:id="rId10"/>
    <sheet name="WT Scale" sheetId="2" r:id="rId11"/>
    <sheet name="cp-lambda data from Ashes" sheetId="1" r:id="rId12"/>
    <sheet name="Rotor Scale" sheetId="3" r:id="rId13"/>
    <sheet name="3MW-DDPMG" sheetId="20" r:id="rId1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4" i="27" l="1"/>
  <c r="B443" i="27"/>
  <c r="B442" i="27"/>
  <c r="B441" i="27"/>
  <c r="B445" i="27" s="1"/>
  <c r="B41" i="26"/>
  <c r="B440" i="27"/>
  <c r="B434" i="27"/>
  <c r="B432" i="27"/>
  <c r="B433" i="27"/>
  <c r="B40" i="26"/>
  <c r="B29" i="26"/>
  <c r="E456" i="27"/>
  <c r="E455" i="27"/>
  <c r="E454" i="27"/>
  <c r="E453" i="27"/>
  <c r="E452" i="27"/>
  <c r="E451" i="27"/>
  <c r="B30" i="26"/>
  <c r="C412" i="27"/>
  <c r="D412" i="27" s="1"/>
  <c r="C413" i="27"/>
  <c r="D413" i="27" s="1"/>
  <c r="C414" i="27"/>
  <c r="C415" i="27"/>
  <c r="C416" i="27"/>
  <c r="C417" i="27"/>
  <c r="D417" i="27" s="1"/>
  <c r="C418" i="27"/>
  <c r="C419" i="27"/>
  <c r="D419" i="27" s="1"/>
  <c r="C420" i="27"/>
  <c r="D420" i="27" s="1"/>
  <c r="C421" i="27"/>
  <c r="D421" i="27" s="1"/>
  <c r="C422" i="27"/>
  <c r="D422" i="27" s="1"/>
  <c r="C423" i="27"/>
  <c r="D423" i="27" s="1"/>
  <c r="C424" i="27"/>
  <c r="D424" i="27" s="1"/>
  <c r="C425" i="27"/>
  <c r="D425" i="27" s="1"/>
  <c r="C411" i="27"/>
  <c r="D411" i="27" s="1"/>
  <c r="C20" i="26"/>
  <c r="D418" i="27"/>
  <c r="D416" i="27"/>
  <c r="D415" i="27"/>
  <c r="D414" i="27"/>
  <c r="B39" i="26"/>
  <c r="B38" i="26"/>
  <c r="B37" i="26"/>
  <c r="B343" i="27"/>
  <c r="B340" i="27"/>
  <c r="B346" i="27" s="1"/>
  <c r="G297" i="27"/>
  <c r="B296" i="27" s="1"/>
  <c r="B298" i="27" s="1"/>
  <c r="B58" i="15"/>
  <c r="B292" i="27"/>
  <c r="B297" i="27" s="1"/>
  <c r="B54" i="15"/>
  <c r="B281" i="27"/>
  <c r="B282" i="27" s="1"/>
  <c r="B284" i="27"/>
  <c r="B283" i="27"/>
  <c r="B275" i="27"/>
  <c r="F275" i="27" s="1"/>
  <c r="H288" i="27" s="1"/>
  <c r="B31" i="19"/>
  <c r="B237" i="27"/>
  <c r="B30" i="19"/>
  <c r="B20" i="19"/>
  <c r="B19" i="19"/>
  <c r="B18" i="19"/>
  <c r="K227" i="27"/>
  <c r="K226" i="27"/>
  <c r="K225" i="27"/>
  <c r="B212" i="27"/>
  <c r="B214" i="27" s="1"/>
  <c r="B219" i="27" s="1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63" i="27"/>
  <c r="J155" i="27"/>
  <c r="L155" i="27" s="1"/>
  <c r="B14" i="3"/>
  <c r="B49" i="27"/>
  <c r="B47" i="27"/>
  <c r="B46" i="27"/>
  <c r="B6" i="3"/>
  <c r="B42" i="27"/>
  <c r="B43" i="27" s="1"/>
  <c r="B44" i="27" s="1"/>
  <c r="A18" i="27"/>
  <c r="B18" i="27"/>
  <c r="A19" i="27"/>
  <c r="B19" i="27"/>
  <c r="B14" i="27"/>
  <c r="B7" i="27"/>
  <c r="B9" i="27" s="1"/>
  <c r="B12" i="27" s="1"/>
  <c r="B285" i="27" l="1"/>
  <c r="B287" i="27" s="1"/>
  <c r="B299" i="27"/>
  <c r="F288" i="27"/>
  <c r="B288" i="27"/>
  <c r="B289" i="27" s="1"/>
  <c r="B220" i="27"/>
  <c r="B223" i="27" s="1"/>
  <c r="B230" i="27"/>
  <c r="B231" i="27" s="1"/>
  <c r="B233" i="27" s="1"/>
  <c r="B234" i="27" s="1"/>
  <c r="B235" i="27" s="1"/>
  <c r="B50" i="27"/>
  <c r="B15" i="27"/>
  <c r="B222" i="27" l="1"/>
  <c r="B226" i="27" l="1"/>
  <c r="H231" i="27" s="1"/>
  <c r="B225" i="27"/>
  <c r="H230" i="27" s="1"/>
  <c r="B238" i="27"/>
  <c r="B239" i="27" s="1"/>
  <c r="B227" i="27"/>
  <c r="H232" i="27" s="1"/>
  <c r="H233" i="27" l="1"/>
  <c r="C6" i="26" l="1"/>
  <c r="D6" i="26" s="1"/>
  <c r="E52" i="26"/>
  <c r="E48" i="26"/>
  <c r="E49" i="26"/>
  <c r="E50" i="26"/>
  <c r="E51" i="26"/>
  <c r="E47" i="26"/>
  <c r="J2" i="22"/>
  <c r="L2" i="22" s="1"/>
  <c r="B59" i="15"/>
  <c r="B61" i="15" s="1"/>
  <c r="B60" i="15"/>
  <c r="H24" i="19"/>
  <c r="H25" i="19"/>
  <c r="H23" i="19"/>
  <c r="K20" i="19"/>
  <c r="K19" i="19"/>
  <c r="K18" i="19"/>
  <c r="B36" i="26"/>
  <c r="B28" i="26"/>
  <c r="F35" i="15"/>
  <c r="H26" i="19" l="1"/>
  <c r="C19" i="26"/>
  <c r="D19" i="26" s="1"/>
  <c r="C17" i="26"/>
  <c r="D17" i="26" s="1"/>
  <c r="C9" i="26"/>
  <c r="D9" i="26" s="1"/>
  <c r="C7" i="26"/>
  <c r="D7" i="26" s="1"/>
  <c r="D20" i="26"/>
  <c r="C18" i="26"/>
  <c r="D18" i="26" s="1"/>
  <c r="C16" i="26"/>
  <c r="D16" i="26" s="1"/>
  <c r="C15" i="26"/>
  <c r="D15" i="26" s="1"/>
  <c r="C14" i="26"/>
  <c r="D14" i="26" s="1"/>
  <c r="C13" i="26"/>
  <c r="D13" i="26" s="1"/>
  <c r="C12" i="26"/>
  <c r="D12" i="26" s="1"/>
  <c r="C11" i="26"/>
  <c r="D11" i="26" s="1"/>
  <c r="C10" i="26"/>
  <c r="D10" i="26" s="1"/>
  <c r="C8" i="26"/>
  <c r="D8" i="26" s="1"/>
  <c r="BB9" i="10"/>
  <c r="BA9" i="10"/>
  <c r="AZ10" i="10"/>
  <c r="AZ11" i="10"/>
  <c r="AZ12" i="10"/>
  <c r="AZ13" i="10"/>
  <c r="AZ14" i="10"/>
  <c r="AZ15" i="10"/>
  <c r="AZ16" i="10"/>
  <c r="AZ17" i="10"/>
  <c r="AZ18" i="10"/>
  <c r="AZ19" i="10"/>
  <c r="AZ20" i="10"/>
  <c r="AZ21" i="10"/>
  <c r="AZ22" i="10"/>
  <c r="AZ23" i="10"/>
  <c r="AZ24" i="10"/>
  <c r="AZ25" i="10"/>
  <c r="AZ26" i="10"/>
  <c r="AZ9" i="10"/>
  <c r="AU10" i="10"/>
  <c r="AU11" i="10"/>
  <c r="AU12" i="10"/>
  <c r="AU13" i="10"/>
  <c r="AU14" i="10"/>
  <c r="AU15" i="10"/>
  <c r="AU16" i="10"/>
  <c r="AU17" i="10"/>
  <c r="AU18" i="10"/>
  <c r="AU19" i="10"/>
  <c r="AU20" i="10"/>
  <c r="AU21" i="10"/>
  <c r="AU22" i="10"/>
  <c r="AU23" i="10"/>
  <c r="AU24" i="10"/>
  <c r="AU25" i="10"/>
  <c r="AU26" i="10"/>
  <c r="AU9" i="10"/>
  <c r="AV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9" i="10"/>
  <c r="AF2" i="10"/>
  <c r="K51" i="15"/>
  <c r="E27" i="21"/>
  <c r="F27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14" i="21"/>
  <c r="F14" i="21" s="1"/>
  <c r="E3" i="2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2" i="21"/>
  <c r="F2" i="21" s="1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63" i="24"/>
  <c r="G64" i="24"/>
  <c r="D87" i="24"/>
  <c r="D74" i="24"/>
  <c r="D67" i="24"/>
  <c r="D65" i="24"/>
  <c r="B16" i="24"/>
  <c r="B14" i="24"/>
  <c r="B4" i="24"/>
  <c r="A36" i="24" s="1"/>
  <c r="B8" i="24"/>
  <c r="B9" i="24" s="1"/>
  <c r="B35" i="24" s="1"/>
  <c r="B11" i="24"/>
  <c r="D88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3" i="24"/>
  <c r="D72" i="24"/>
  <c r="D71" i="24"/>
  <c r="D70" i="24"/>
  <c r="D69" i="24"/>
  <c r="D68" i="24"/>
  <c r="D66" i="24"/>
  <c r="E26" i="24"/>
  <c r="E25" i="24"/>
  <c r="E24" i="24"/>
  <c r="C24" i="24"/>
  <c r="B24" i="24"/>
  <c r="F31" i="21" l="1"/>
  <c r="F32" i="21" s="1"/>
  <c r="B18" i="24"/>
  <c r="C36" i="24"/>
  <c r="D36" i="24" s="1"/>
  <c r="E36" i="24" s="1"/>
  <c r="B37" i="24"/>
  <c r="B36" i="24"/>
  <c r="B27" i="24"/>
  <c r="B12" i="24"/>
  <c r="B17" i="24"/>
  <c r="B38" i="24"/>
  <c r="B45" i="24"/>
  <c r="C35" i="24"/>
  <c r="D35" i="24" s="1"/>
  <c r="F35" i="24" s="1"/>
  <c r="B28" i="24"/>
  <c r="B43" i="24"/>
  <c r="C33" i="24"/>
  <c r="D33" i="24" s="1"/>
  <c r="C50" i="24"/>
  <c r="D50" i="24" s="1"/>
  <c r="B50" i="24"/>
  <c r="C41" i="24"/>
  <c r="D41" i="24" s="1"/>
  <c r="B33" i="24"/>
  <c r="C48" i="24"/>
  <c r="D48" i="24" s="1"/>
  <c r="B41" i="24"/>
  <c r="C31" i="24"/>
  <c r="D31" i="24" s="1"/>
  <c r="B48" i="24"/>
  <c r="C39" i="24"/>
  <c r="D39" i="24" s="1"/>
  <c r="B31" i="24"/>
  <c r="C46" i="24"/>
  <c r="D46" i="24" s="1"/>
  <c r="B39" i="24"/>
  <c r="C29" i="24"/>
  <c r="D29" i="24" s="1"/>
  <c r="B46" i="24"/>
  <c r="B29" i="24"/>
  <c r="C44" i="24"/>
  <c r="D44" i="24" s="1"/>
  <c r="C27" i="24"/>
  <c r="D27" i="24" s="1"/>
  <c r="B44" i="24"/>
  <c r="C34" i="24"/>
  <c r="D34" i="24" s="1"/>
  <c r="C42" i="24"/>
  <c r="D42" i="24" s="1"/>
  <c r="B34" i="24"/>
  <c r="C49" i="24"/>
  <c r="D49" i="24" s="1"/>
  <c r="B42" i="24"/>
  <c r="C32" i="24"/>
  <c r="D32" i="24" s="1"/>
  <c r="B49" i="24"/>
  <c r="C40" i="24"/>
  <c r="D40" i="24" s="1"/>
  <c r="B32" i="24"/>
  <c r="C47" i="24"/>
  <c r="D47" i="24" s="1"/>
  <c r="B40" i="24"/>
  <c r="C30" i="24"/>
  <c r="D30" i="24" s="1"/>
  <c r="B47" i="24"/>
  <c r="C38" i="24"/>
  <c r="D38" i="24" s="1"/>
  <c r="B30" i="24"/>
  <c r="C45" i="24"/>
  <c r="D45" i="24" s="1"/>
  <c r="B7" i="24"/>
  <c r="C37" i="24"/>
  <c r="D37" i="24" s="1"/>
  <c r="E37" i="24" s="1"/>
  <c r="C43" i="24"/>
  <c r="D43" i="24" s="1"/>
  <c r="C28" i="24"/>
  <c r="D28" i="24" s="1"/>
  <c r="F36" i="24" l="1"/>
  <c r="G36" i="24" s="1"/>
  <c r="H36" i="24" s="1"/>
  <c r="F37" i="24"/>
  <c r="G37" i="24" s="1"/>
  <c r="H37" i="24" s="1"/>
  <c r="I37" i="24" s="1"/>
  <c r="F42" i="24"/>
  <c r="G42" i="24" s="1"/>
  <c r="H42" i="24" s="1"/>
  <c r="I42" i="24" s="1"/>
  <c r="E42" i="24"/>
  <c r="F31" i="24"/>
  <c r="G31" i="24" s="1"/>
  <c r="H31" i="24" s="1"/>
  <c r="I31" i="24" s="1"/>
  <c r="E31" i="24"/>
  <c r="F48" i="24"/>
  <c r="G48" i="24" s="1"/>
  <c r="H48" i="24" s="1"/>
  <c r="I48" i="24" s="1"/>
  <c r="E48" i="24"/>
  <c r="F45" i="24"/>
  <c r="G45" i="24" s="1"/>
  <c r="H45" i="24" s="1"/>
  <c r="I45" i="24" s="1"/>
  <c r="E45" i="24"/>
  <c r="F34" i="24"/>
  <c r="G34" i="24" s="1"/>
  <c r="H34" i="24" s="1"/>
  <c r="I34" i="24" s="1"/>
  <c r="E34" i="24"/>
  <c r="F49" i="24"/>
  <c r="G49" i="24" s="1"/>
  <c r="H49" i="24" s="1"/>
  <c r="I49" i="24" s="1"/>
  <c r="E49" i="24"/>
  <c r="F38" i="24"/>
  <c r="G38" i="24" s="1"/>
  <c r="H38" i="24" s="1"/>
  <c r="I38" i="24" s="1"/>
  <c r="E38" i="24"/>
  <c r="F27" i="24"/>
  <c r="E27" i="24"/>
  <c r="F41" i="24"/>
  <c r="G41" i="24" s="1"/>
  <c r="H41" i="24" s="1"/>
  <c r="I41" i="24" s="1"/>
  <c r="E41" i="24"/>
  <c r="E43" i="24"/>
  <c r="F43" i="24"/>
  <c r="G43" i="24" s="1"/>
  <c r="H43" i="24" s="1"/>
  <c r="I43" i="24" s="1"/>
  <c r="F30" i="24"/>
  <c r="G30" i="24" s="1"/>
  <c r="H30" i="24" s="1"/>
  <c r="I30" i="24" s="1"/>
  <c r="E30" i="24"/>
  <c r="F44" i="24"/>
  <c r="G44" i="24" s="1"/>
  <c r="H44" i="24" s="1"/>
  <c r="I44" i="24" s="1"/>
  <c r="E44" i="24"/>
  <c r="F50" i="24"/>
  <c r="G50" i="24" s="1"/>
  <c r="H50" i="24" s="1"/>
  <c r="I50" i="24" s="1"/>
  <c r="E50" i="24"/>
  <c r="F33" i="24"/>
  <c r="G33" i="24" s="1"/>
  <c r="H33" i="24" s="1"/>
  <c r="I33" i="24" s="1"/>
  <c r="E33" i="24"/>
  <c r="F28" i="24"/>
  <c r="G28" i="24" s="1"/>
  <c r="H28" i="24" s="1"/>
  <c r="I28" i="24" s="1"/>
  <c r="E28" i="24"/>
  <c r="F47" i="24"/>
  <c r="G47" i="24" s="1"/>
  <c r="H47" i="24" s="1"/>
  <c r="I47" i="24" s="1"/>
  <c r="E47" i="24"/>
  <c r="F29" i="24"/>
  <c r="G29" i="24" s="1"/>
  <c r="H29" i="24" s="1"/>
  <c r="I29" i="24" s="1"/>
  <c r="E29" i="24"/>
  <c r="F40" i="24"/>
  <c r="G40" i="24" s="1"/>
  <c r="H40" i="24" s="1"/>
  <c r="I40" i="24" s="1"/>
  <c r="E40" i="24"/>
  <c r="F46" i="24"/>
  <c r="G46" i="24" s="1"/>
  <c r="H46" i="24" s="1"/>
  <c r="I46" i="24" s="1"/>
  <c r="E46" i="24"/>
  <c r="G35" i="24"/>
  <c r="H35" i="24" s="1"/>
  <c r="I35" i="24" s="1"/>
  <c r="E35" i="24"/>
  <c r="F32" i="24"/>
  <c r="G32" i="24" s="1"/>
  <c r="H32" i="24" s="1"/>
  <c r="I32" i="24" s="1"/>
  <c r="E32" i="24"/>
  <c r="F39" i="24"/>
  <c r="G39" i="24" s="1"/>
  <c r="H39" i="24" s="1"/>
  <c r="I39" i="24" s="1"/>
  <c r="E39" i="24"/>
  <c r="G27" i="24" l="1"/>
  <c r="H27" i="24" s="1"/>
  <c r="I36" i="24"/>
  <c r="J36" i="24"/>
  <c r="J48" i="24"/>
  <c r="J41" i="24"/>
  <c r="J34" i="24"/>
  <c r="J30" i="24"/>
  <c r="J43" i="24"/>
  <c r="J39" i="24"/>
  <c r="J31" i="24"/>
  <c r="J33" i="24"/>
  <c r="J32" i="24"/>
  <c r="J50" i="24"/>
  <c r="J28" i="24"/>
  <c r="J35" i="24"/>
  <c r="J45" i="24"/>
  <c r="J46" i="24"/>
  <c r="J40" i="24"/>
  <c r="J38" i="24"/>
  <c r="J44" i="24"/>
  <c r="J29" i="24"/>
  <c r="J42" i="24"/>
  <c r="J49" i="24"/>
  <c r="J47" i="24"/>
  <c r="J37" i="24"/>
  <c r="I27" i="24" l="1"/>
  <c r="J27" i="24"/>
  <c r="BA26" i="10"/>
  <c r="AW26" i="10"/>
  <c r="AV26" i="10"/>
  <c r="BA25" i="10"/>
  <c r="AW25" i="10"/>
  <c r="AV25" i="10"/>
  <c r="BA24" i="10"/>
  <c r="BB24" i="10" s="1"/>
  <c r="AW24" i="10"/>
  <c r="AV24" i="10"/>
  <c r="BA23" i="10"/>
  <c r="AW23" i="10"/>
  <c r="AV23" i="10"/>
  <c r="BA22" i="10"/>
  <c r="AW22" i="10"/>
  <c r="AV22" i="10"/>
  <c r="BA21" i="10"/>
  <c r="AW21" i="10"/>
  <c r="AV21" i="10"/>
  <c r="BA20" i="10"/>
  <c r="AW20" i="10"/>
  <c r="AV20" i="10"/>
  <c r="BA19" i="10"/>
  <c r="BB19" i="10"/>
  <c r="AW19" i="10"/>
  <c r="AV19" i="10"/>
  <c r="BA18" i="10"/>
  <c r="AW18" i="10"/>
  <c r="AV18" i="10"/>
  <c r="BA17" i="10"/>
  <c r="AW17" i="10"/>
  <c r="AV17" i="10"/>
  <c r="BA16" i="10"/>
  <c r="BB16" i="10"/>
  <c r="AW16" i="10"/>
  <c r="AV16" i="10"/>
  <c r="BB15" i="10"/>
  <c r="BA15" i="10"/>
  <c r="AW15" i="10"/>
  <c r="AV15" i="10"/>
  <c r="BA14" i="10"/>
  <c r="BB14" i="10" s="1"/>
  <c r="AW14" i="10"/>
  <c r="AV14" i="10"/>
  <c r="BB13" i="10"/>
  <c r="BA13" i="10"/>
  <c r="AW13" i="10"/>
  <c r="AV13" i="10"/>
  <c r="BA12" i="10"/>
  <c r="BB12" i="10" s="1"/>
  <c r="AW12" i="10"/>
  <c r="AV12" i="10"/>
  <c r="BA11" i="10"/>
  <c r="AW11" i="10"/>
  <c r="AV11" i="10"/>
  <c r="BA10" i="10"/>
  <c r="BB10" i="10" s="1"/>
  <c r="AW10" i="10"/>
  <c r="AV10" i="10"/>
  <c r="AW9" i="10"/>
  <c r="T101" i="10" a="1"/>
  <c r="T101" i="10" s="1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83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P82" i="10"/>
  <c r="M101" i="10" a="1"/>
  <c r="M101" i="10" s="1"/>
  <c r="J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2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83" i="10"/>
  <c r="I82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F101" i="10" a="1"/>
  <c r="F101" i="10" s="1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83" i="10"/>
  <c r="B82" i="10"/>
  <c r="D75" i="10"/>
  <c r="D74" i="10"/>
  <c r="G76" i="10" s="1"/>
  <c r="K32" i="22"/>
  <c r="M32" i="22" s="1"/>
  <c r="K43" i="22"/>
  <c r="M43" i="22" s="1"/>
  <c r="K42" i="22"/>
  <c r="M42" i="22" s="1"/>
  <c r="K41" i="22"/>
  <c r="M41" i="22" s="1"/>
  <c r="K40" i="22"/>
  <c r="M40" i="22" s="1"/>
  <c r="K39" i="22"/>
  <c r="M39" i="22" s="1"/>
  <c r="K38" i="22"/>
  <c r="L38" i="22" s="1"/>
  <c r="K37" i="22"/>
  <c r="M37" i="22" s="1"/>
  <c r="K36" i="22"/>
  <c r="M36" i="22" s="1"/>
  <c r="K35" i="22"/>
  <c r="L35" i="22" s="1"/>
  <c r="K34" i="22"/>
  <c r="L34" i="22" s="1"/>
  <c r="K33" i="22"/>
  <c r="M33" i="22" s="1"/>
  <c r="L32" i="22"/>
  <c r="B7" i="3"/>
  <c r="B8" i="3" s="1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10" i="22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49" i="10"/>
  <c r="D64" i="10"/>
  <c r="D49" i="10"/>
  <c r="D39" i="10"/>
  <c r="D42" i="10"/>
  <c r="D15" i="10"/>
  <c r="D18" i="10"/>
  <c r="L48" i="10"/>
  <c r="H66" i="10"/>
  <c r="N66" i="10" s="1"/>
  <c r="G66" i="10"/>
  <c r="H65" i="10"/>
  <c r="N65" i="10" s="1"/>
  <c r="G65" i="10"/>
  <c r="H64" i="10"/>
  <c r="N64" i="10" s="1"/>
  <c r="G64" i="10"/>
  <c r="H63" i="10"/>
  <c r="N63" i="10" s="1"/>
  <c r="G63" i="10"/>
  <c r="H62" i="10"/>
  <c r="N62" i="10" s="1"/>
  <c r="G62" i="10"/>
  <c r="H61" i="10"/>
  <c r="N61" i="10" s="1"/>
  <c r="G61" i="10"/>
  <c r="H60" i="10"/>
  <c r="N60" i="10" s="1"/>
  <c r="G60" i="10"/>
  <c r="H59" i="10"/>
  <c r="N59" i="10" s="1"/>
  <c r="G59" i="10"/>
  <c r="H58" i="10"/>
  <c r="N58" i="10" s="1"/>
  <c r="G58" i="10"/>
  <c r="H57" i="10"/>
  <c r="N57" i="10" s="1"/>
  <c r="G57" i="10"/>
  <c r="H56" i="10"/>
  <c r="N56" i="10" s="1"/>
  <c r="G56" i="10"/>
  <c r="H55" i="10"/>
  <c r="N55" i="10" s="1"/>
  <c r="G55" i="10"/>
  <c r="H54" i="10"/>
  <c r="N54" i="10" s="1"/>
  <c r="G54" i="10"/>
  <c r="H53" i="10"/>
  <c r="N53" i="10" s="1"/>
  <c r="G53" i="10"/>
  <c r="H52" i="10"/>
  <c r="N52" i="10" s="1"/>
  <c r="G52" i="10"/>
  <c r="H51" i="10"/>
  <c r="N51" i="10" s="1"/>
  <c r="G51" i="10"/>
  <c r="H50" i="10"/>
  <c r="N50" i="10" s="1"/>
  <c r="G50" i="10"/>
  <c r="H49" i="10"/>
  <c r="N49" i="10" s="1"/>
  <c r="G49" i="10"/>
  <c r="T20" i="10"/>
  <c r="U20" i="10" s="1"/>
  <c r="D43" i="10" s="1"/>
  <c r="T19" i="10"/>
  <c r="U19" i="10" s="1"/>
  <c r="D19" i="10" s="1"/>
  <c r="T18" i="10"/>
  <c r="U18" i="10" s="1"/>
  <c r="D41" i="10" s="1"/>
  <c r="T17" i="10"/>
  <c r="U17" i="10" s="1"/>
  <c r="D63" i="10" s="1"/>
  <c r="T16" i="10"/>
  <c r="U16" i="10" s="1"/>
  <c r="D62" i="10" s="1"/>
  <c r="T15" i="10"/>
  <c r="U15" i="10" s="1"/>
  <c r="D61" i="10" s="1"/>
  <c r="T14" i="10"/>
  <c r="U14" i="10" s="1"/>
  <c r="D60" i="10" s="1"/>
  <c r="T13" i="10"/>
  <c r="U13" i="10" s="1"/>
  <c r="D59" i="10" s="1"/>
  <c r="T12" i="10"/>
  <c r="U12" i="10" s="1"/>
  <c r="D58" i="10" s="1"/>
  <c r="O58" i="10" s="1"/>
  <c r="T11" i="10"/>
  <c r="U11" i="10" s="1"/>
  <c r="D57" i="10" s="1"/>
  <c r="T10" i="10"/>
  <c r="U10" i="10" s="1"/>
  <c r="D56" i="10" s="1"/>
  <c r="T9" i="10"/>
  <c r="U9" i="10" s="1"/>
  <c r="D55" i="10" s="1"/>
  <c r="O55" i="10" s="1"/>
  <c r="T8" i="10"/>
  <c r="U8" i="10" s="1"/>
  <c r="D54" i="10" s="1"/>
  <c r="O54" i="10" s="1"/>
  <c r="T7" i="10"/>
  <c r="U7" i="10" s="1"/>
  <c r="D53" i="10" s="1"/>
  <c r="T6" i="10"/>
  <c r="U6" i="10" s="1"/>
  <c r="D52" i="10" s="1"/>
  <c r="O52" i="10" s="1"/>
  <c r="T5" i="10"/>
  <c r="U5" i="10" s="1"/>
  <c r="D28" i="10" s="1"/>
  <c r="T4" i="10"/>
  <c r="U4" i="10" s="1"/>
  <c r="D27" i="10" s="1"/>
  <c r="T3" i="10"/>
  <c r="U3" i="10" s="1"/>
  <c r="D26" i="10" s="1"/>
  <c r="H48" i="15"/>
  <c r="F48" i="15"/>
  <c r="B49" i="15"/>
  <c r="B48" i="15"/>
  <c r="B41" i="15"/>
  <c r="AA2" i="10" l="1"/>
  <c r="C30" i="22"/>
  <c r="J44" i="22" s="1"/>
  <c r="K44" i="22" s="1"/>
  <c r="C31" i="22"/>
  <c r="D17" i="10"/>
  <c r="D66" i="10"/>
  <c r="O66" i="10" s="1"/>
  <c r="D50" i="10"/>
  <c r="O50" i="10" s="1"/>
  <c r="J50" i="10"/>
  <c r="D16" i="10"/>
  <c r="D40" i="10"/>
  <c r="D65" i="10"/>
  <c r="O65" i="10" s="1"/>
  <c r="I65" i="10" s="1"/>
  <c r="O49" i="10"/>
  <c r="J64" i="10"/>
  <c r="D14" i="10"/>
  <c r="D38" i="10"/>
  <c r="D13" i="10"/>
  <c r="D37" i="10"/>
  <c r="D12" i="10"/>
  <c r="D36" i="10"/>
  <c r="D11" i="10"/>
  <c r="D35" i="10"/>
  <c r="J52" i="10"/>
  <c r="J66" i="10"/>
  <c r="D10" i="10"/>
  <c r="D34" i="10"/>
  <c r="D9" i="10"/>
  <c r="D33" i="10"/>
  <c r="D8" i="10"/>
  <c r="D32" i="10"/>
  <c r="O59" i="10"/>
  <c r="I59" i="10" s="1"/>
  <c r="D51" i="10"/>
  <c r="O51" i="10" s="1"/>
  <c r="I51" i="10" s="1"/>
  <c r="D7" i="10"/>
  <c r="D31" i="10"/>
  <c r="O53" i="10"/>
  <c r="J60" i="10"/>
  <c r="D3" i="10"/>
  <c r="D6" i="10"/>
  <c r="D30" i="10"/>
  <c r="J54" i="10"/>
  <c r="D4" i="10"/>
  <c r="D5" i="10"/>
  <c r="D29" i="10"/>
  <c r="O56" i="10"/>
  <c r="D20" i="10"/>
  <c r="J55" i="10"/>
  <c r="BB20" i="10"/>
  <c r="BB18" i="10"/>
  <c r="BB26" i="10"/>
  <c r="BB21" i="10"/>
  <c r="BB11" i="10"/>
  <c r="BB22" i="10"/>
  <c r="BB17" i="10"/>
  <c r="BB23" i="10"/>
  <c r="BB25" i="10"/>
  <c r="B76" i="10"/>
  <c r="E76" i="10"/>
  <c r="M34" i="22"/>
  <c r="L36" i="22"/>
  <c r="M38" i="22"/>
  <c r="L33" i="22"/>
  <c r="M44" i="22"/>
  <c r="L44" i="22"/>
  <c r="L40" i="22"/>
  <c r="M35" i="22"/>
  <c r="L41" i="22"/>
  <c r="L42" i="22"/>
  <c r="L37" i="22"/>
  <c r="L43" i="22"/>
  <c r="L39" i="22"/>
  <c r="C33" i="22"/>
  <c r="C41" i="22" s="1"/>
  <c r="C37" i="22"/>
  <c r="C43" i="22" s="1"/>
  <c r="C35" i="22"/>
  <c r="C42" i="22" s="1"/>
  <c r="J53" i="10"/>
  <c r="J59" i="10"/>
  <c r="J56" i="10"/>
  <c r="J49" i="10"/>
  <c r="O64" i="10"/>
  <c r="I64" i="10" s="1"/>
  <c r="O60" i="10"/>
  <c r="J61" i="10"/>
  <c r="O61" i="10"/>
  <c r="J62" i="10"/>
  <c r="J57" i="10"/>
  <c r="J65" i="10"/>
  <c r="O62" i="10"/>
  <c r="O57" i="10"/>
  <c r="J63" i="10"/>
  <c r="J58" i="10"/>
  <c r="O63" i="10"/>
  <c r="I63" i="10" s="1"/>
  <c r="I49" i="10"/>
  <c r="I55" i="10"/>
  <c r="I53" i="10"/>
  <c r="I60" i="10"/>
  <c r="M51" i="10"/>
  <c r="M53" i="10"/>
  <c r="M57" i="10"/>
  <c r="M59" i="10"/>
  <c r="M61" i="10"/>
  <c r="I61" i="10" s="1"/>
  <c r="M63" i="10"/>
  <c r="M65" i="10"/>
  <c r="M49" i="10"/>
  <c r="M55" i="10"/>
  <c r="M50" i="10"/>
  <c r="I50" i="10" s="1"/>
  <c r="M52" i="10"/>
  <c r="I52" i="10" s="1"/>
  <c r="M54" i="10"/>
  <c r="I54" i="10" s="1"/>
  <c r="M56" i="10"/>
  <c r="M58" i="10"/>
  <c r="I58" i="10" s="1"/>
  <c r="M60" i="10"/>
  <c r="M62" i="10"/>
  <c r="M64" i="10"/>
  <c r="M66" i="10"/>
  <c r="I66" i="10" s="1"/>
  <c r="AX10" i="10" l="1"/>
  <c r="AY10" i="10" s="1"/>
  <c r="AX26" i="10"/>
  <c r="AY26" i="10" s="1"/>
  <c r="AX11" i="10"/>
  <c r="AY11" i="10" s="1"/>
  <c r="AX9" i="10"/>
  <c r="AY9" i="10" s="1"/>
  <c r="AX12" i="10"/>
  <c r="AY12" i="10" s="1"/>
  <c r="AX13" i="10"/>
  <c r="AY13" i="10" s="1"/>
  <c r="AX14" i="10"/>
  <c r="AY14" i="10" s="1"/>
  <c r="AX15" i="10"/>
  <c r="AY15" i="10" s="1"/>
  <c r="AX16" i="10"/>
  <c r="AY16" i="10" s="1"/>
  <c r="AX18" i="10"/>
  <c r="AY18" i="10" s="1"/>
  <c r="AX17" i="10"/>
  <c r="AY17" i="10" s="1"/>
  <c r="AX19" i="10"/>
  <c r="AY19" i="10" s="1"/>
  <c r="AX20" i="10"/>
  <c r="AY20" i="10" s="1"/>
  <c r="AX21" i="10"/>
  <c r="AY21" i="10" s="1"/>
  <c r="AX25" i="10"/>
  <c r="AY25" i="10" s="1"/>
  <c r="AX22" i="10"/>
  <c r="AY22" i="10" s="1"/>
  <c r="AX23" i="10"/>
  <c r="AY23" i="10" s="1"/>
  <c r="AX24" i="10"/>
  <c r="AY24" i="10" s="1"/>
  <c r="R84" i="10"/>
  <c r="S84" i="10" s="1"/>
  <c r="T84" i="10" s="1"/>
  <c r="R92" i="10"/>
  <c r="S92" i="10" s="1"/>
  <c r="T92" i="10" s="1"/>
  <c r="R97" i="10"/>
  <c r="S97" i="10" s="1"/>
  <c r="T97" i="10" s="1"/>
  <c r="R98" i="10"/>
  <c r="S98" i="10" s="1"/>
  <c r="T98" i="10" s="1"/>
  <c r="R93" i="10"/>
  <c r="S93" i="10" s="1"/>
  <c r="T93" i="10" s="1"/>
  <c r="R85" i="10"/>
  <c r="S85" i="10" s="1"/>
  <c r="T85" i="10" s="1"/>
  <c r="R91" i="10"/>
  <c r="S91" i="10" s="1"/>
  <c r="T91" i="10" s="1"/>
  <c r="R94" i="10"/>
  <c r="S94" i="10" s="1"/>
  <c r="T94" i="10" s="1"/>
  <c r="R87" i="10"/>
  <c r="S87" i="10" s="1"/>
  <c r="T87" i="10" s="1"/>
  <c r="R82" i="10"/>
  <c r="S82" i="10" s="1"/>
  <c r="T82" i="10" s="1"/>
  <c r="R96" i="10"/>
  <c r="S96" i="10" s="1"/>
  <c r="T96" i="10" s="1"/>
  <c r="J51" i="10"/>
  <c r="R99" i="10"/>
  <c r="S99" i="10" s="1"/>
  <c r="T99" i="10" s="1"/>
  <c r="R86" i="10"/>
  <c r="S86" i="10" s="1"/>
  <c r="T86" i="10" s="1"/>
  <c r="R88" i="10"/>
  <c r="S88" i="10" s="1"/>
  <c r="T88" i="10" s="1"/>
  <c r="I56" i="10"/>
  <c r="R83" i="10"/>
  <c r="S83" i="10" s="1"/>
  <c r="T83" i="10" s="1"/>
  <c r="D52" i="22"/>
  <c r="C52" i="22"/>
  <c r="D51" i="22"/>
  <c r="C51" i="22"/>
  <c r="D50" i="22"/>
  <c r="C50" i="22"/>
  <c r="I57" i="10"/>
  <c r="I62" i="10"/>
  <c r="BF15" i="10" l="1"/>
  <c r="BG15" i="10" s="1"/>
  <c r="BH15" i="10" s="1"/>
  <c r="BI15" i="10" s="1"/>
  <c r="BJ15" i="10" s="1"/>
  <c r="BC15" i="10"/>
  <c r="BF20" i="10"/>
  <c r="BG20" i="10" s="1"/>
  <c r="BH20" i="10" s="1"/>
  <c r="BI20" i="10" s="1"/>
  <c r="BJ20" i="10" s="1"/>
  <c r="BC20" i="10"/>
  <c r="BF14" i="10"/>
  <c r="BG14" i="10" s="1"/>
  <c r="BH14" i="10" s="1"/>
  <c r="BI14" i="10" s="1"/>
  <c r="BJ14" i="10" s="1"/>
  <c r="BC14" i="10"/>
  <c r="BC19" i="10"/>
  <c r="BF19" i="10"/>
  <c r="BG19" i="10" s="1"/>
  <c r="BH19" i="10" s="1"/>
  <c r="BI19" i="10" s="1"/>
  <c r="BJ19" i="10" s="1"/>
  <c r="BF13" i="10"/>
  <c r="BG13" i="10" s="1"/>
  <c r="BH13" i="10" s="1"/>
  <c r="BI13" i="10" s="1"/>
  <c r="BJ13" i="10" s="1"/>
  <c r="BC13" i="10"/>
  <c r="BF21" i="10"/>
  <c r="BG21" i="10" s="1"/>
  <c r="BH21" i="10" s="1"/>
  <c r="BI21" i="10" s="1"/>
  <c r="BJ21" i="10" s="1"/>
  <c r="BC21" i="10"/>
  <c r="BF12" i="10"/>
  <c r="BG12" i="10" s="1"/>
  <c r="BH12" i="10" s="1"/>
  <c r="BI12" i="10" s="1"/>
  <c r="BJ12" i="10" s="1"/>
  <c r="BC12" i="10"/>
  <c r="BF22" i="10"/>
  <c r="BG22" i="10" s="1"/>
  <c r="BH22" i="10" s="1"/>
  <c r="BI22" i="10" s="1"/>
  <c r="BJ22" i="10" s="1"/>
  <c r="BC22" i="10"/>
  <c r="BF9" i="10"/>
  <c r="BG9" i="10" s="1"/>
  <c r="BH9" i="10" s="1"/>
  <c r="BI9" i="10" s="1"/>
  <c r="BJ9" i="10" s="1"/>
  <c r="BC9" i="10"/>
  <c r="BF16" i="10"/>
  <c r="BG16" i="10" s="1"/>
  <c r="BH16" i="10" s="1"/>
  <c r="BI16" i="10" s="1"/>
  <c r="BJ16" i="10" s="1"/>
  <c r="BC16" i="10"/>
  <c r="BF11" i="10"/>
  <c r="BG11" i="10" s="1"/>
  <c r="BH11" i="10" s="1"/>
  <c r="BI11" i="10" s="1"/>
  <c r="BJ11" i="10" s="1"/>
  <c r="BC11" i="10"/>
  <c r="BF25" i="10"/>
  <c r="BG25" i="10" s="1"/>
  <c r="BH25" i="10" s="1"/>
  <c r="BI25" i="10" s="1"/>
  <c r="BJ25" i="10" s="1"/>
  <c r="BC25" i="10"/>
  <c r="BC17" i="10"/>
  <c r="BF17" i="10"/>
  <c r="BG17" i="10" s="1"/>
  <c r="BH17" i="10" s="1"/>
  <c r="BI17" i="10" s="1"/>
  <c r="BJ17" i="10" s="1"/>
  <c r="BF24" i="10"/>
  <c r="BG24" i="10" s="1"/>
  <c r="BH24" i="10" s="1"/>
  <c r="BI24" i="10" s="1"/>
  <c r="BJ24" i="10" s="1"/>
  <c r="BC24" i="10"/>
  <c r="BF26" i="10"/>
  <c r="BG26" i="10" s="1"/>
  <c r="BH26" i="10" s="1"/>
  <c r="BI26" i="10" s="1"/>
  <c r="BJ26" i="10" s="1"/>
  <c r="BC26" i="10"/>
  <c r="BC18" i="10"/>
  <c r="BF18" i="10"/>
  <c r="BG18" i="10" s="1"/>
  <c r="BH18" i="10" s="1"/>
  <c r="BI18" i="10" s="1"/>
  <c r="BJ18" i="10" s="1"/>
  <c r="BF23" i="10"/>
  <c r="BG23" i="10" s="1"/>
  <c r="BH23" i="10" s="1"/>
  <c r="BI23" i="10" s="1"/>
  <c r="BJ23" i="10" s="1"/>
  <c r="BC23" i="10"/>
  <c r="BF10" i="10"/>
  <c r="BG10" i="10" s="1"/>
  <c r="BH10" i="10" s="1"/>
  <c r="BI10" i="10" s="1"/>
  <c r="BJ10" i="10" s="1"/>
  <c r="BC10" i="10"/>
  <c r="R89" i="10"/>
  <c r="S89" i="10" s="1"/>
  <c r="T89" i="10" s="1"/>
  <c r="R90" i="10"/>
  <c r="S90" i="10" s="1"/>
  <c r="T90" i="10" s="1"/>
  <c r="T100" i="10" s="1"/>
  <c r="T102" i="10" s="1"/>
  <c r="T103" i="10" s="1"/>
  <c r="R95" i="10"/>
  <c r="S95" i="10" s="1"/>
  <c r="T95" i="10" s="1"/>
  <c r="B44" i="15"/>
  <c r="B43" i="15"/>
  <c r="B42" i="15"/>
  <c r="B35" i="15"/>
  <c r="B20" i="20"/>
  <c r="C54" i="20"/>
  <c r="B27" i="20"/>
  <c r="B25" i="20"/>
  <c r="B13" i="20"/>
  <c r="B10" i="20"/>
  <c r="B4" i="20"/>
  <c r="B6" i="20" s="1"/>
  <c r="B12" i="20" s="1"/>
  <c r="BR12" i="10" l="1"/>
  <c r="BN12" i="10"/>
  <c r="BO12" i="10" s="1"/>
  <c r="BP12" i="10" s="1"/>
  <c r="BD12" i="10"/>
  <c r="BE12" i="10" s="1"/>
  <c r="BU12" i="10"/>
  <c r="BK12" i="10"/>
  <c r="BN22" i="10"/>
  <c r="BO22" i="10" s="1"/>
  <c r="BP22" i="10" s="1"/>
  <c r="BD22" i="10"/>
  <c r="BE22" i="10" s="1"/>
  <c r="BU22" i="10"/>
  <c r="BK22" i="10"/>
  <c r="BR22" i="10"/>
  <c r="BN24" i="10"/>
  <c r="BO24" i="10" s="1"/>
  <c r="BP24" i="10" s="1"/>
  <c r="BD24" i="10"/>
  <c r="BE24" i="10" s="1"/>
  <c r="BU24" i="10"/>
  <c r="BK24" i="10"/>
  <c r="BR24" i="10"/>
  <c r="BN21" i="10"/>
  <c r="BO21" i="10" s="1"/>
  <c r="BP21" i="10" s="1"/>
  <c r="BD21" i="10"/>
  <c r="BE21" i="10" s="1"/>
  <c r="BU21" i="10"/>
  <c r="BK21" i="10"/>
  <c r="BR21" i="10"/>
  <c r="BR13" i="10"/>
  <c r="BN13" i="10"/>
  <c r="BO13" i="10" s="1"/>
  <c r="BP13" i="10" s="1"/>
  <c r="BD13" i="10"/>
  <c r="BE13" i="10" s="1"/>
  <c r="BK13" i="10"/>
  <c r="BU13" i="10"/>
  <c r="BD18" i="10"/>
  <c r="BE18" i="10" s="1"/>
  <c r="BN18" i="10"/>
  <c r="BO18" i="10" s="1"/>
  <c r="BP18" i="10" s="1"/>
  <c r="BU18" i="10"/>
  <c r="BK18" i="10"/>
  <c r="BR18" i="10"/>
  <c r="BN25" i="10"/>
  <c r="BO25" i="10" s="1"/>
  <c r="BP25" i="10" s="1"/>
  <c r="BD25" i="10"/>
  <c r="BE25" i="10" s="1"/>
  <c r="BR25" i="10"/>
  <c r="BU25" i="10"/>
  <c r="BK25" i="10"/>
  <c r="BN19" i="10"/>
  <c r="BO19" i="10" s="1"/>
  <c r="BP19" i="10" s="1"/>
  <c r="BD19" i="10"/>
  <c r="BE19" i="10" s="1"/>
  <c r="BU19" i="10"/>
  <c r="BK19" i="10"/>
  <c r="BR19" i="10"/>
  <c r="BR11" i="10"/>
  <c r="BN11" i="10"/>
  <c r="BO11" i="10" s="1"/>
  <c r="BD11" i="10"/>
  <c r="BE11" i="10" s="1"/>
  <c r="BU11" i="10"/>
  <c r="BK11" i="10"/>
  <c r="BK14" i="10"/>
  <c r="BR14" i="10"/>
  <c r="BN14" i="10"/>
  <c r="BO14" i="10" s="1"/>
  <c r="BP14" i="10" s="1"/>
  <c r="BD14" i="10"/>
  <c r="BE14" i="10" s="1"/>
  <c r="BU14" i="10"/>
  <c r="BR10" i="10"/>
  <c r="BN10" i="10"/>
  <c r="BO10" i="10" s="1"/>
  <c r="BD10" i="10"/>
  <c r="BE10" i="10" s="1"/>
  <c r="BU10" i="10"/>
  <c r="BK10" i="10"/>
  <c r="BU16" i="10"/>
  <c r="BK16" i="10"/>
  <c r="BR16" i="10"/>
  <c r="BN16" i="10"/>
  <c r="BO16" i="10" s="1"/>
  <c r="BP16" i="10" s="1"/>
  <c r="BD16" i="10"/>
  <c r="BE16" i="10" s="1"/>
  <c r="BN20" i="10"/>
  <c r="BO20" i="10" s="1"/>
  <c r="BP20" i="10" s="1"/>
  <c r="BD20" i="10"/>
  <c r="BE20" i="10" s="1"/>
  <c r="BU20" i="10"/>
  <c r="BK20" i="10"/>
  <c r="BR20" i="10"/>
  <c r="BS20" i="10" s="1"/>
  <c r="BT20" i="10" s="1"/>
  <c r="BD17" i="10"/>
  <c r="BE17" i="10" s="1"/>
  <c r="BU17" i="10"/>
  <c r="BK17" i="10"/>
  <c r="BR17" i="10"/>
  <c r="BN17" i="10"/>
  <c r="BO17" i="10" s="1"/>
  <c r="BP17" i="10" s="1"/>
  <c r="BN23" i="10"/>
  <c r="BO23" i="10" s="1"/>
  <c r="BP23" i="10" s="1"/>
  <c r="BD23" i="10"/>
  <c r="BE23" i="10" s="1"/>
  <c r="BU23" i="10"/>
  <c r="BK23" i="10"/>
  <c r="BR23" i="10"/>
  <c r="BD9" i="10"/>
  <c r="BE9" i="10" s="1"/>
  <c r="BR9" i="10"/>
  <c r="BN9" i="10"/>
  <c r="BO9" i="10" s="1"/>
  <c r="BU9" i="10"/>
  <c r="BK9" i="10"/>
  <c r="BU15" i="10"/>
  <c r="BK15" i="10"/>
  <c r="BR15" i="10"/>
  <c r="BN15" i="10"/>
  <c r="BO15" i="10" s="1"/>
  <c r="BP15" i="10" s="1"/>
  <c r="BD15" i="10"/>
  <c r="BE15" i="10" s="1"/>
  <c r="BR26" i="10"/>
  <c r="BN26" i="10"/>
  <c r="BO26" i="10" s="1"/>
  <c r="BP26" i="10" s="1"/>
  <c r="BD26" i="10"/>
  <c r="BE26" i="10" s="1"/>
  <c r="BU26" i="10"/>
  <c r="BK26" i="10"/>
  <c r="BX20" i="10"/>
  <c r="B45" i="15"/>
  <c r="B47" i="15" s="1"/>
  <c r="B14" i="20"/>
  <c r="B21" i="20"/>
  <c r="B22" i="20"/>
  <c r="B52" i="20"/>
  <c r="B53" i="20"/>
  <c r="B5" i="19"/>
  <c r="B7" i="19" s="1"/>
  <c r="B12" i="19" s="1"/>
  <c r="BS24" i="10" l="1"/>
  <c r="BT24" i="10" s="1"/>
  <c r="BX24" i="10"/>
  <c r="BS18" i="10"/>
  <c r="BT18" i="10" s="1"/>
  <c r="BX18" i="10"/>
  <c r="BQ24" i="10"/>
  <c r="BL24" i="10"/>
  <c r="BM24" i="10" s="1"/>
  <c r="BQ11" i="10"/>
  <c r="BL11" i="10"/>
  <c r="BM11" i="10" s="1"/>
  <c r="BL18" i="10"/>
  <c r="BM18" i="10" s="1"/>
  <c r="BQ18" i="10"/>
  <c r="BV24" i="10"/>
  <c r="BW24" i="10" s="1"/>
  <c r="BZ24" i="10"/>
  <c r="BV11" i="10"/>
  <c r="BW11" i="10" s="1"/>
  <c r="BZ11" i="10"/>
  <c r="BV18" i="10"/>
  <c r="BW18" i="10" s="1"/>
  <c r="BZ18" i="10"/>
  <c r="BS23" i="10"/>
  <c r="BT23" i="10" s="1"/>
  <c r="BX23" i="10"/>
  <c r="BQ9" i="10"/>
  <c r="BL9" i="10"/>
  <c r="BM9" i="10" s="1"/>
  <c r="BQ14" i="10"/>
  <c r="BL14" i="10"/>
  <c r="BM14" i="10" s="1"/>
  <c r="BS16" i="10"/>
  <c r="BT16" i="10" s="1"/>
  <c r="BX16" i="10"/>
  <c r="BS22" i="10"/>
  <c r="BT22" i="10" s="1"/>
  <c r="BX22" i="10"/>
  <c r="BS11" i="10"/>
  <c r="BT11" i="10" s="1"/>
  <c r="BX11" i="10"/>
  <c r="BV13" i="10"/>
  <c r="BW13" i="10" s="1"/>
  <c r="BZ13" i="10"/>
  <c r="BL22" i="10"/>
  <c r="BM22" i="10" s="1"/>
  <c r="BQ22" i="10"/>
  <c r="BZ9" i="10"/>
  <c r="BV9" i="10"/>
  <c r="BW9" i="10" s="1"/>
  <c r="BV16" i="10"/>
  <c r="BW16" i="10" s="1"/>
  <c r="BZ16" i="10"/>
  <c r="BS19" i="10"/>
  <c r="BT19" i="10" s="1"/>
  <c r="BX19" i="10"/>
  <c r="BQ13" i="10"/>
  <c r="BL13" i="10"/>
  <c r="BM13" i="10" s="1"/>
  <c r="BV22" i="10"/>
  <c r="BW22" i="10" s="1"/>
  <c r="BZ22" i="10"/>
  <c r="BS14" i="10"/>
  <c r="BT14" i="10" s="1"/>
  <c r="BX14" i="10"/>
  <c r="BQ26" i="10"/>
  <c r="BL26" i="10"/>
  <c r="BM26" i="10" s="1"/>
  <c r="BQ10" i="10"/>
  <c r="BL10" i="10"/>
  <c r="BM10" i="10" s="1"/>
  <c r="BL19" i="10"/>
  <c r="BM19" i="10" s="1"/>
  <c r="BQ19" i="10"/>
  <c r="BL20" i="10"/>
  <c r="BM20" i="10" s="1"/>
  <c r="BQ20" i="10"/>
  <c r="BV10" i="10"/>
  <c r="BW10" i="10" s="1"/>
  <c r="BZ10" i="10"/>
  <c r="BV19" i="10"/>
  <c r="BW19" i="10" s="1"/>
  <c r="BZ19" i="10"/>
  <c r="BS17" i="10"/>
  <c r="BT17" i="10" s="1"/>
  <c r="BX17" i="10"/>
  <c r="BS13" i="10"/>
  <c r="BT13" i="10" s="1"/>
  <c r="BX13" i="10"/>
  <c r="BQ12" i="10"/>
  <c r="BL12" i="10"/>
  <c r="BM12" i="10" s="1"/>
  <c r="BV20" i="10"/>
  <c r="BW20" i="10" s="1"/>
  <c r="BZ20" i="10"/>
  <c r="BV23" i="10"/>
  <c r="BW23" i="10" s="1"/>
  <c r="BZ23" i="10"/>
  <c r="BL17" i="10"/>
  <c r="BM17" i="10" s="1"/>
  <c r="BQ17" i="10"/>
  <c r="BS21" i="10"/>
  <c r="BT21" i="10" s="1"/>
  <c r="BX21" i="10"/>
  <c r="BV12" i="10"/>
  <c r="BW12" i="10" s="1"/>
  <c r="BZ12" i="10"/>
  <c r="BS9" i="10"/>
  <c r="BT9" i="10" s="1"/>
  <c r="BX9" i="10"/>
  <c r="BL23" i="10"/>
  <c r="BM23" i="10" s="1"/>
  <c r="BQ23" i="10"/>
  <c r="BS15" i="10"/>
  <c r="BT15" i="10" s="1"/>
  <c r="BX15" i="10"/>
  <c r="BV17" i="10"/>
  <c r="BW17" i="10" s="1"/>
  <c r="BZ17" i="10"/>
  <c r="BS10" i="10"/>
  <c r="BT10" i="10" s="1"/>
  <c r="BX10" i="10"/>
  <c r="BQ25" i="10"/>
  <c r="BL25" i="10"/>
  <c r="BM25" i="10" s="1"/>
  <c r="BL21" i="10"/>
  <c r="BM21" i="10" s="1"/>
  <c r="BQ21" i="10"/>
  <c r="BL16" i="10"/>
  <c r="BM16" i="10" s="1"/>
  <c r="BQ16" i="10"/>
  <c r="BS26" i="10"/>
  <c r="BT26" i="10" s="1"/>
  <c r="BX26" i="10"/>
  <c r="BQ15" i="10"/>
  <c r="BL15" i="10"/>
  <c r="BM15" i="10" s="1"/>
  <c r="BV14" i="10"/>
  <c r="BW14" i="10" s="1"/>
  <c r="BZ14" i="10"/>
  <c r="BV25" i="10"/>
  <c r="BW25" i="10" s="1"/>
  <c r="BZ25" i="10"/>
  <c r="BV21" i="10"/>
  <c r="BW21" i="10" s="1"/>
  <c r="BZ21" i="10"/>
  <c r="BV26" i="10"/>
  <c r="BW26" i="10" s="1"/>
  <c r="BZ26" i="10"/>
  <c r="BV15" i="10"/>
  <c r="BW15" i="10" s="1"/>
  <c r="BZ15" i="10"/>
  <c r="BS25" i="10"/>
  <c r="BT25" i="10" s="1"/>
  <c r="BX25" i="10"/>
  <c r="BS12" i="10"/>
  <c r="BT12" i="10" s="1"/>
  <c r="BX12" i="10"/>
  <c r="B23" i="19"/>
  <c r="B24" i="19" s="1"/>
  <c r="B26" i="19" s="1"/>
  <c r="B27" i="19" s="1"/>
  <c r="B28" i="19" s="1"/>
  <c r="B13" i="19"/>
  <c r="B15" i="19" s="1"/>
  <c r="CB20" i="10"/>
  <c r="V14" i="10" s="1"/>
  <c r="B54" i="20"/>
  <c r="CA19" i="10" l="1"/>
  <c r="CB17" i="10"/>
  <c r="V11" i="10" s="1"/>
  <c r="CB19" i="10"/>
  <c r="V13" i="10" s="1"/>
  <c r="CB24" i="10"/>
  <c r="V18" i="10" s="1"/>
  <c r="CB10" i="10"/>
  <c r="V4" i="10" s="1"/>
  <c r="CB16" i="10"/>
  <c r="V10" i="10" s="1"/>
  <c r="CB23" i="10"/>
  <c r="V17" i="10" s="1"/>
  <c r="CB21" i="10"/>
  <c r="V15" i="10" s="1"/>
  <c r="CB26" i="10"/>
  <c r="V20" i="10" s="1"/>
  <c r="CB25" i="10"/>
  <c r="V19" i="10" s="1"/>
  <c r="CB14" i="10"/>
  <c r="V8" i="10" s="1"/>
  <c r="CB9" i="10"/>
  <c r="V3" i="10" s="1"/>
  <c r="CB13" i="10"/>
  <c r="V7" i="10" s="1"/>
  <c r="CB18" i="10"/>
  <c r="V12" i="10" s="1"/>
  <c r="CB22" i="10"/>
  <c r="V16" i="10" s="1"/>
  <c r="CB11" i="10"/>
  <c r="V5" i="10" s="1"/>
  <c r="CB12" i="10"/>
  <c r="V6" i="10" s="1"/>
  <c r="BX28" i="10"/>
  <c r="BY22" i="10" s="1"/>
  <c r="CA10" i="10"/>
  <c r="BY19" i="10"/>
  <c r="CB15" i="10"/>
  <c r="V9" i="10" s="1"/>
  <c r="CA21" i="10"/>
  <c r="CA23" i="10"/>
  <c r="CA15" i="10"/>
  <c r="BY24" i="10"/>
  <c r="CA13" i="10"/>
  <c r="BY25" i="10"/>
  <c r="BZ28" i="10"/>
  <c r="BZ29" i="10" s="1"/>
  <c r="B16" i="19"/>
  <c r="K3" i="10"/>
  <c r="H3" i="10"/>
  <c r="G3" i="10"/>
  <c r="B3" i="4"/>
  <c r="BY26" i="10" l="1"/>
  <c r="BY16" i="10"/>
  <c r="BY21" i="10"/>
  <c r="CA18" i="10"/>
  <c r="BY17" i="10"/>
  <c r="BY23" i="10"/>
  <c r="CA24" i="10"/>
  <c r="BX29" i="10"/>
  <c r="BY20" i="10"/>
  <c r="BY9" i="10"/>
  <c r="CA9" i="10"/>
  <c r="BY13" i="10"/>
  <c r="BY11" i="10"/>
  <c r="BY14" i="10"/>
  <c r="BY18" i="10"/>
  <c r="CA22" i="10"/>
  <c r="CA16" i="10"/>
  <c r="CA11" i="10"/>
  <c r="CA12" i="10"/>
  <c r="CA20" i="10"/>
  <c r="BY12" i="10"/>
  <c r="CA17" i="10"/>
  <c r="CA25" i="10"/>
  <c r="CA14" i="10"/>
  <c r="BY10" i="10"/>
  <c r="CA26" i="10"/>
  <c r="BY15" i="10"/>
  <c r="B32" i="19"/>
  <c r="J3" i="10"/>
  <c r="N3" i="10"/>
  <c r="M3" i="10"/>
  <c r="K27" i="10" l="1"/>
  <c r="K28" i="10"/>
  <c r="K29" i="10"/>
  <c r="K30" i="10"/>
  <c r="K31" i="10"/>
  <c r="K32" i="10"/>
  <c r="O32" i="10" s="1"/>
  <c r="K33" i="10"/>
  <c r="K34" i="10"/>
  <c r="O34" i="10" s="1"/>
  <c r="K35" i="10"/>
  <c r="O35" i="10" s="1"/>
  <c r="K36" i="10"/>
  <c r="O36" i="10" s="1"/>
  <c r="K37" i="10"/>
  <c r="O37" i="10" s="1"/>
  <c r="K38" i="10"/>
  <c r="O38" i="10" s="1"/>
  <c r="K39" i="10"/>
  <c r="O39" i="10" s="1"/>
  <c r="K40" i="10"/>
  <c r="O40" i="10" s="1"/>
  <c r="K41" i="10"/>
  <c r="O41" i="10" s="1"/>
  <c r="K42" i="10"/>
  <c r="O42" i="10" s="1"/>
  <c r="K43" i="10"/>
  <c r="O43" i="10" s="1"/>
  <c r="K26" i="10"/>
  <c r="O26" i="10" s="1"/>
  <c r="H43" i="10"/>
  <c r="G43" i="10"/>
  <c r="J43" i="10" s="1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O33" i="10"/>
  <c r="H33" i="10"/>
  <c r="G33" i="10"/>
  <c r="H32" i="10"/>
  <c r="G32" i="10"/>
  <c r="J32" i="10" s="1"/>
  <c r="O31" i="10"/>
  <c r="H31" i="10"/>
  <c r="G31" i="10"/>
  <c r="O30" i="10"/>
  <c r="H30" i="10"/>
  <c r="M30" i="10" s="1"/>
  <c r="G30" i="10"/>
  <c r="O29" i="10"/>
  <c r="H29" i="10"/>
  <c r="G29" i="10"/>
  <c r="J29" i="10" s="1"/>
  <c r="O28" i="10"/>
  <c r="H28" i="10"/>
  <c r="G28" i="10"/>
  <c r="J28" i="10" s="1"/>
  <c r="O27" i="10"/>
  <c r="H27" i="10"/>
  <c r="G27" i="10"/>
  <c r="J27" i="10" s="1"/>
  <c r="H26" i="10"/>
  <c r="G26" i="10"/>
  <c r="J26" i="10" s="1"/>
  <c r="K4" i="10"/>
  <c r="O4" i="10" s="1"/>
  <c r="K5" i="10"/>
  <c r="O5" i="10" s="1"/>
  <c r="K6" i="10"/>
  <c r="K7" i="10"/>
  <c r="K8" i="10"/>
  <c r="O8" i="10" s="1"/>
  <c r="K9" i="10"/>
  <c r="O9" i="10" s="1"/>
  <c r="K10" i="10"/>
  <c r="O10" i="10" s="1"/>
  <c r="I10" i="10" s="1"/>
  <c r="D89" i="10" s="1"/>
  <c r="E89" i="10" s="1"/>
  <c r="F89" i="10" s="1"/>
  <c r="K11" i="10"/>
  <c r="O11" i="10" s="1"/>
  <c r="K12" i="10"/>
  <c r="K13" i="10"/>
  <c r="K14" i="10"/>
  <c r="K15" i="10"/>
  <c r="O15" i="10" s="1"/>
  <c r="K16" i="10"/>
  <c r="O16" i="10" s="1"/>
  <c r="K17" i="10"/>
  <c r="O17" i="10" s="1"/>
  <c r="K18" i="10"/>
  <c r="O18" i="10" s="1"/>
  <c r="K19" i="10"/>
  <c r="K20" i="10"/>
  <c r="O20" i="10" s="1"/>
  <c r="O3" i="10"/>
  <c r="I3" i="10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G4" i="10"/>
  <c r="G5" i="10"/>
  <c r="G6" i="10"/>
  <c r="G7" i="10"/>
  <c r="N7" i="10" s="1"/>
  <c r="G8" i="10"/>
  <c r="N8" i="10" s="1"/>
  <c r="G9" i="10"/>
  <c r="G10" i="10"/>
  <c r="N10" i="10" s="1"/>
  <c r="G11" i="10"/>
  <c r="G12" i="10"/>
  <c r="N12" i="10" s="1"/>
  <c r="G13" i="10"/>
  <c r="G14" i="10"/>
  <c r="G15" i="10"/>
  <c r="G16" i="10"/>
  <c r="G17" i="10"/>
  <c r="G18" i="10"/>
  <c r="N18" i="10" s="1"/>
  <c r="G19" i="10"/>
  <c r="G20" i="10"/>
  <c r="D82" i="10" l="1"/>
  <c r="E82" i="10" s="1"/>
  <c r="F82" i="10" s="1"/>
  <c r="N6" i="10"/>
  <c r="J30" i="10"/>
  <c r="M4" i="10"/>
  <c r="M14" i="10"/>
  <c r="M12" i="10"/>
  <c r="M18" i="10"/>
  <c r="M17" i="10"/>
  <c r="M15" i="10"/>
  <c r="M11" i="10"/>
  <c r="M16" i="10"/>
  <c r="M19" i="10"/>
  <c r="N26" i="10"/>
  <c r="M9" i="10"/>
  <c r="M8" i="10"/>
  <c r="I8" i="10" s="1"/>
  <c r="M5" i="10"/>
  <c r="M7" i="10"/>
  <c r="M13" i="10"/>
  <c r="M10" i="10"/>
  <c r="N5" i="10"/>
  <c r="M6" i="10"/>
  <c r="J34" i="10"/>
  <c r="N9" i="10"/>
  <c r="I9" i="10" s="1"/>
  <c r="N19" i="10"/>
  <c r="N20" i="10"/>
  <c r="J14" i="10"/>
  <c r="N16" i="10"/>
  <c r="J13" i="10"/>
  <c r="N27" i="10"/>
  <c r="N15" i="10"/>
  <c r="I15" i="10" s="1"/>
  <c r="J31" i="10"/>
  <c r="N13" i="10"/>
  <c r="N29" i="10"/>
  <c r="J35" i="10"/>
  <c r="N4" i="10"/>
  <c r="I4" i="10" s="1"/>
  <c r="M20" i="10"/>
  <c r="J36" i="10"/>
  <c r="N17" i="10"/>
  <c r="N14" i="10"/>
  <c r="N11" i="10"/>
  <c r="N39" i="10"/>
  <c r="N28" i="10"/>
  <c r="N34" i="10"/>
  <c r="N40" i="10"/>
  <c r="N41" i="10"/>
  <c r="N35" i="10"/>
  <c r="N42" i="10"/>
  <c r="N36" i="10"/>
  <c r="N43" i="10"/>
  <c r="N33" i="10"/>
  <c r="N31" i="10"/>
  <c r="N37" i="10"/>
  <c r="N32" i="10"/>
  <c r="N38" i="10"/>
  <c r="J12" i="10"/>
  <c r="J7" i="10"/>
  <c r="J6" i="10"/>
  <c r="I5" i="10"/>
  <c r="J19" i="10"/>
  <c r="I18" i="10"/>
  <c r="O7" i="10"/>
  <c r="I7" i="10" s="1"/>
  <c r="J11" i="10"/>
  <c r="J10" i="10"/>
  <c r="O6" i="10"/>
  <c r="I6" i="10" s="1"/>
  <c r="J9" i="10"/>
  <c r="J8" i="10"/>
  <c r="J5" i="10"/>
  <c r="J4" i="10"/>
  <c r="J18" i="10"/>
  <c r="O13" i="10"/>
  <c r="J17" i="10"/>
  <c r="O14" i="10"/>
  <c r="O12" i="10"/>
  <c r="I12" i="10" s="1"/>
  <c r="J16" i="10"/>
  <c r="J20" i="10"/>
  <c r="J15" i="10"/>
  <c r="O19" i="10"/>
  <c r="I19" i="10" s="1"/>
  <c r="J40" i="10"/>
  <c r="J42" i="10"/>
  <c r="J37" i="10"/>
  <c r="J41" i="10"/>
  <c r="J38" i="10"/>
  <c r="J33" i="10"/>
  <c r="J39" i="10"/>
  <c r="M34" i="10"/>
  <c r="M36" i="10"/>
  <c r="M38" i="10"/>
  <c r="M40" i="10"/>
  <c r="M42" i="10"/>
  <c r="M28" i="10"/>
  <c r="N30" i="10"/>
  <c r="I30" i="10" s="1"/>
  <c r="M32" i="10"/>
  <c r="M26" i="10"/>
  <c r="M27" i="10"/>
  <c r="I27" i="10" s="1"/>
  <c r="M29" i="10"/>
  <c r="M31" i="10"/>
  <c r="M33" i="10"/>
  <c r="M35" i="10"/>
  <c r="M37" i="10"/>
  <c r="M39" i="10"/>
  <c r="M41" i="10"/>
  <c r="M43" i="10"/>
  <c r="D94" i="10" l="1"/>
  <c r="E94" i="10" s="1"/>
  <c r="F94" i="10" s="1"/>
  <c r="K83" i="10"/>
  <c r="L83" i="10" s="1"/>
  <c r="M83" i="10" s="1"/>
  <c r="D84" i="10"/>
  <c r="E84" i="10" s="1"/>
  <c r="F84" i="10" s="1"/>
  <c r="D86" i="10"/>
  <c r="E86" i="10" s="1"/>
  <c r="F86" i="10" s="1"/>
  <c r="D91" i="10"/>
  <c r="E91" i="10" s="1"/>
  <c r="F91" i="10" s="1"/>
  <c r="K86" i="10"/>
  <c r="L86" i="10" s="1"/>
  <c r="M86" i="10" s="1"/>
  <c r="D83" i="10"/>
  <c r="E83" i="10" s="1"/>
  <c r="F83" i="10" s="1"/>
  <c r="F100" i="10" s="1"/>
  <c r="F102" i="10" s="1"/>
  <c r="F103" i="10" s="1"/>
  <c r="D98" i="10"/>
  <c r="E98" i="10" s="1"/>
  <c r="F98" i="10" s="1"/>
  <c r="D87" i="10"/>
  <c r="E87" i="10" s="1"/>
  <c r="F87" i="10" s="1"/>
  <c r="D97" i="10"/>
  <c r="E97" i="10" s="1"/>
  <c r="F97" i="10" s="1"/>
  <c r="D88" i="10"/>
  <c r="E88" i="10" s="1"/>
  <c r="F88" i="10" s="1"/>
  <c r="D85" i="10"/>
  <c r="E85" i="10" s="1"/>
  <c r="F85" i="10" s="1"/>
  <c r="I16" i="10"/>
  <c r="I11" i="10"/>
  <c r="I17" i="10"/>
  <c r="I26" i="10"/>
  <c r="I20" i="10"/>
  <c r="I33" i="10"/>
  <c r="I29" i="10"/>
  <c r="I42" i="10"/>
  <c r="I13" i="10"/>
  <c r="I43" i="10"/>
  <c r="I39" i="10"/>
  <c r="I28" i="10"/>
  <c r="I35" i="10"/>
  <c r="I37" i="10"/>
  <c r="I40" i="10"/>
  <c r="I32" i="10"/>
  <c r="I41" i="10"/>
  <c r="I14" i="10"/>
  <c r="I34" i="10"/>
  <c r="I31" i="10"/>
  <c r="I38" i="10"/>
  <c r="I36" i="10"/>
  <c r="K85" i="10" l="1"/>
  <c r="L85" i="10" s="1"/>
  <c r="M85" i="10" s="1"/>
  <c r="K87" i="10"/>
  <c r="L87" i="10" s="1"/>
  <c r="M87" i="10" s="1"/>
  <c r="K99" i="10"/>
  <c r="L99" i="10" s="1"/>
  <c r="M99" i="10" s="1"/>
  <c r="D99" i="10"/>
  <c r="E99" i="10" s="1"/>
  <c r="F99" i="10" s="1"/>
  <c r="K94" i="10"/>
  <c r="L94" i="10" s="1"/>
  <c r="M94" i="10" s="1"/>
  <c r="K82" i="10"/>
  <c r="L82" i="10" s="1"/>
  <c r="M82" i="10" s="1"/>
  <c r="K95" i="10"/>
  <c r="L95" i="10" s="1"/>
  <c r="M95" i="10" s="1"/>
  <c r="K98" i="10"/>
  <c r="L98" i="10" s="1"/>
  <c r="M98" i="10" s="1"/>
  <c r="D95" i="10"/>
  <c r="E95" i="10" s="1"/>
  <c r="F95" i="10" s="1"/>
  <c r="D96" i="10"/>
  <c r="E96" i="10" s="1"/>
  <c r="F96" i="10" s="1"/>
  <c r="D93" i="10"/>
  <c r="E93" i="10" s="1"/>
  <c r="F93" i="10" s="1"/>
  <c r="K93" i="10"/>
  <c r="L93" i="10" s="1"/>
  <c r="M93" i="10" s="1"/>
  <c r="K89" i="10"/>
  <c r="L89" i="10" s="1"/>
  <c r="M89" i="10" s="1"/>
  <c r="K88" i="10"/>
  <c r="L88" i="10" s="1"/>
  <c r="M88" i="10" s="1"/>
  <c r="D90" i="10"/>
  <c r="E90" i="10" s="1"/>
  <c r="F90" i="10" s="1"/>
  <c r="D92" i="10"/>
  <c r="E92" i="10" s="1"/>
  <c r="F92" i="10" s="1"/>
  <c r="K92" i="10"/>
  <c r="L92" i="10" s="1"/>
  <c r="M92" i="10" s="1"/>
  <c r="K90" i="10"/>
  <c r="L90" i="10" s="1"/>
  <c r="M90" i="10" s="1"/>
  <c r="K97" i="10"/>
  <c r="L97" i="10" s="1"/>
  <c r="M97" i="10" s="1"/>
  <c r="K96" i="10"/>
  <c r="L96" i="10" s="1"/>
  <c r="M96" i="10" s="1"/>
  <c r="K91" i="10"/>
  <c r="L91" i="10" s="1"/>
  <c r="M91" i="10" s="1"/>
  <c r="K84" i="10"/>
  <c r="L84" i="10" s="1"/>
  <c r="M84" i="10" s="1"/>
  <c r="B6" i="4"/>
  <c r="B9" i="4"/>
  <c r="B13" i="3"/>
  <c r="F3" i="1"/>
  <c r="B11" i="3" s="1"/>
  <c r="B22" i="2"/>
  <c r="B15" i="2"/>
  <c r="B17" i="2" s="1"/>
  <c r="F2" i="1"/>
  <c r="B10" i="3" s="1"/>
  <c r="M100" i="10" l="1"/>
  <c r="M102" i="10" s="1"/>
  <c r="M103" i="10" s="1"/>
  <c r="B23" i="2"/>
  <c r="B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Alasdair McDonald</author>
  </authors>
  <commentList>
    <comment ref="AB6" authorId="0" shapeId="0" xr:uid="{C88695C8-2B13-40BA-8260-440D2D5A256A}">
      <text>
        <r>
          <rPr>
            <b/>
            <sz val="9"/>
            <color indexed="81"/>
            <rFont val="Tahoma"/>
            <family val="2"/>
          </rPr>
          <t>Alasdair McDonald:</t>
        </r>
        <r>
          <rPr>
            <sz val="9"/>
            <color indexed="81"/>
            <rFont val="Tahoma"/>
            <family val="2"/>
          </rPr>
          <t xml:space="preserve">
This is data that can be found from by right clicking on a blade station</t>
        </r>
      </text>
    </comment>
    <comment ref="AD7" authorId="0" shapeId="0" xr:uid="{FDA086C9-81E3-4771-8BF8-D9C10217388F}">
      <text>
        <r>
          <rPr>
            <b/>
            <sz val="9"/>
            <color indexed="81"/>
            <rFont val="Tahoma"/>
            <family val="2"/>
          </rPr>
          <t>Alasdair McDonald:</t>
        </r>
        <r>
          <rPr>
            <sz val="9"/>
            <color indexed="81"/>
            <rFont val="Tahoma"/>
            <family val="2"/>
          </rPr>
          <t xml:space="preserve">
In Ashes, twist angle is called "beta". Inflow angle is equal to angle of attack, plus twist angle plus pitch angle</t>
        </r>
      </text>
    </comment>
    <comment ref="AE7" authorId="0" shapeId="0" xr:uid="{CD94AFAC-9390-4A1D-BB6A-B3A0F3B8AF7B}">
      <text>
        <r>
          <rPr>
            <b/>
            <sz val="9"/>
            <color indexed="81"/>
            <rFont val="Tahoma"/>
            <family val="2"/>
          </rPr>
          <t>Alasdair McDonald:</t>
        </r>
        <r>
          <rPr>
            <sz val="9"/>
            <color indexed="81"/>
            <rFont val="Tahoma"/>
            <family val="2"/>
          </rPr>
          <t xml:space="preserve">
Distance to root is defined in Ashes as the distance of the middle of this blade station to the outside of the hub. The hub itself has a radius, so we'll need to add these together to get the radius of the middle of this blade station.</t>
        </r>
      </text>
    </comment>
    <comment ref="AF7" authorId="0" shapeId="0" xr:uid="{DA5CD5A6-D0C1-4880-ABD4-1C45D6AAB735}">
      <text>
        <r>
          <rPr>
            <b/>
            <sz val="9"/>
            <color indexed="81"/>
            <rFont val="Tahoma"/>
            <family val="2"/>
          </rPr>
          <t>Alasdair McDonald:</t>
        </r>
        <r>
          <rPr>
            <sz val="9"/>
            <color indexed="81"/>
            <rFont val="Tahoma"/>
            <family val="2"/>
          </rPr>
          <t xml:space="preserve">
In Ashes this is the radial dimension of the blade station, i.e. if a blade station went from Xm to Ym, the influence length would be (Y-X)m</t>
        </r>
      </text>
    </comment>
    <comment ref="AG7" authorId="0" shapeId="0" xr:uid="{2E2EA9D4-6025-4A1C-BB46-06FA7FBA6D99}">
      <text>
        <r>
          <rPr>
            <b/>
            <sz val="9"/>
            <color indexed="81"/>
            <rFont val="Tahoma"/>
            <family val="2"/>
          </rPr>
          <t>Alasdair McDonald:</t>
        </r>
        <r>
          <rPr>
            <sz val="9"/>
            <color indexed="81"/>
            <rFont val="Tahoma"/>
            <family val="2"/>
          </rPr>
          <t xml:space="preserve">
This is the inflow angle minus the twist angle minus the pitch angle</t>
        </r>
      </text>
    </comment>
    <comment ref="AH7" authorId="0" shapeId="0" xr:uid="{26348E55-F543-4D63-A1A6-4A2690D6B5B3}">
      <text>
        <r>
          <rPr>
            <b/>
            <sz val="9"/>
            <color indexed="81"/>
            <rFont val="Tahoma"/>
            <family val="2"/>
          </rPr>
          <t>Alasdair McDonald:</t>
        </r>
        <r>
          <rPr>
            <sz val="9"/>
            <color indexed="81"/>
            <rFont val="Tahoma"/>
            <family val="2"/>
          </rPr>
          <t xml:space="preserve">
This is the angle that the whole blade is turned by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<sst xmlns="http://schemas.openxmlformats.org/spreadsheetml/2006/main" count="1416" uniqueCount="543">
  <si>
    <t>TSR</t>
  </si>
  <si>
    <t>Cp</t>
  </si>
  <si>
    <t>Ct</t>
  </si>
  <si>
    <t>P_r</t>
  </si>
  <si>
    <t>W</t>
  </si>
  <si>
    <t>v_r</t>
  </si>
  <si>
    <t>m/s</t>
  </si>
  <si>
    <t>rho</t>
  </si>
  <si>
    <t>kg/m^3</t>
  </si>
  <si>
    <t>cp_max</t>
  </si>
  <si>
    <t>c_p_max</t>
  </si>
  <si>
    <t>New rotor radius</t>
  </si>
  <si>
    <t>m</t>
  </si>
  <si>
    <t>Original rotor radius</t>
  </si>
  <si>
    <t>Scale factor</t>
  </si>
  <si>
    <t>Original hub radius</t>
  </si>
  <si>
    <t>New hub radius</t>
  </si>
  <si>
    <t>Original blade length</t>
  </si>
  <si>
    <t>New blade length</t>
  </si>
  <si>
    <t>lambda_optimal</t>
  </si>
  <si>
    <t>Maximum tip speed</t>
  </si>
  <si>
    <t>Rotor radius</t>
  </si>
  <si>
    <t>Maximum rotational speed</t>
  </si>
  <si>
    <t>rad/s</t>
  </si>
  <si>
    <t>Maximum rpm</t>
  </si>
  <si>
    <t>rpm</t>
  </si>
  <si>
    <t>Maximum c_p</t>
  </si>
  <si>
    <t>Optimal tip speed ratio</t>
  </si>
  <si>
    <t>Optimal rotor rpm at rated</t>
  </si>
  <si>
    <t>s</t>
  </si>
  <si>
    <t>K_u</t>
  </si>
  <si>
    <t>T_u</t>
  </si>
  <si>
    <t>K_p(0)</t>
  </si>
  <si>
    <t>K_I(0)</t>
  </si>
  <si>
    <t>theta_k</t>
  </si>
  <si>
    <t>degrees</t>
  </si>
  <si>
    <t>(m^4)</t>
  </si>
  <si>
    <t>(mm)</t>
  </si>
  <si>
    <t>(m)</t>
  </si>
  <si>
    <t>(kNm)</t>
  </si>
  <si>
    <t>Area moment Ixx</t>
  </si>
  <si>
    <t>Spar cap thickness t</t>
  </si>
  <si>
    <t>Spar cap width W</t>
  </si>
  <si>
    <t>Section depth T</t>
  </si>
  <si>
    <t>Bending moment M</t>
  </si>
  <si>
    <t>Radial station r</t>
  </si>
  <si>
    <t>Airfoil</t>
    <phoneticPr fontId="18" type="noConversion"/>
  </si>
  <si>
    <t>NREL 5-MW Circular 1</t>
  </si>
  <si>
    <t>NREL 5-MW Circular 2</t>
  </si>
  <si>
    <t>NREL 5-MW DU 99-W-405</t>
  </si>
  <si>
    <t>NREL 5-MW DU 99-W-350</t>
  </si>
  <si>
    <t>NREL 5-MW DU 99-W-300</t>
  </si>
  <si>
    <t>NREL 5-MW DU 99-W-250</t>
  </si>
  <si>
    <t>NREL 5-MW DU 99-W-210</t>
  </si>
  <si>
    <t>NREL 5-MW NACA64-618</t>
  </si>
  <si>
    <t>Station</t>
    <phoneticPr fontId="18" type="noConversion"/>
  </si>
  <si>
    <t>Chord length</t>
    <phoneticPr fontId="18" type="noConversion"/>
  </si>
  <si>
    <t>Max rel. thickness</t>
    <phoneticPr fontId="18" type="noConversion"/>
  </si>
  <si>
    <t>%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</si>
  <si>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</si>
  <si>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</si>
  <si>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</si>
  <si>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(Pa)</t>
    <phoneticPr fontId="18" type="noConversion"/>
  </si>
  <si>
    <t>GPa</t>
    <phoneticPr fontId="18" type="noConversion"/>
  </si>
  <si>
    <t>kg/m³</t>
    <phoneticPr fontId="18" type="noConversion"/>
  </si>
  <si>
    <t>net tensile modulus</t>
    <phoneticPr fontId="18" type="noConversion"/>
  </si>
  <si>
    <t>composite material in the spar</t>
    <phoneticPr fontId="18" type="noConversion"/>
  </si>
  <si>
    <t>Carbon fibre-epoxy (UD), Vf = 0.6</t>
    <phoneticPr fontId="18" type="noConversion"/>
  </si>
  <si>
    <t xml:space="preserve">E(Young's modulus) </t>
    <phoneticPr fontId="18" type="noConversion"/>
  </si>
  <si>
    <t>material</t>
    <phoneticPr fontId="18" type="noConversion"/>
  </si>
  <si>
    <t>rated wind speed</t>
    <phoneticPr fontId="18" type="noConversion"/>
  </si>
  <si>
    <t>s</t>
    <phoneticPr fontId="18" type="noConversion"/>
  </si>
  <si>
    <t>m/s</t>
    <phoneticPr fontId="18" type="noConversion"/>
  </si>
  <si>
    <t>NREL 5-MW Circular 1</t>
    <phoneticPr fontId="18" type="noConversion"/>
  </si>
  <si>
    <t>Spar cap length L</t>
    <phoneticPr fontId="18" type="noConversion"/>
  </si>
  <si>
    <t>Spar cap width W</t>
    <phoneticPr fontId="18" type="noConversion"/>
  </si>
  <si>
    <t>Spar cap thickness t</t>
    <phoneticPr fontId="18" type="noConversion"/>
  </si>
  <si>
    <t>(mm)</t>
    <phoneticPr fontId="18" type="noConversion"/>
  </si>
  <si>
    <t>(m)</t>
    <phoneticPr fontId="18" type="noConversion"/>
  </si>
  <si>
    <t>Volume</t>
    <phoneticPr fontId="18" type="noConversion"/>
  </si>
  <si>
    <t>(m³)</t>
    <phoneticPr fontId="18" type="noConversion"/>
  </si>
  <si>
    <t xml:space="preserve">Spar cap mass </t>
    <phoneticPr fontId="18" type="noConversion"/>
  </si>
  <si>
    <t>kg</t>
    <phoneticPr fontId="18" type="noConversion"/>
  </si>
  <si>
    <t>(kg)</t>
    <phoneticPr fontId="18" type="noConversion"/>
  </si>
  <si>
    <t>cost</t>
    <phoneticPr fontId="18" type="noConversion"/>
  </si>
  <si>
    <t>total mass</t>
    <phoneticPr fontId="18" type="noConversion"/>
  </si>
  <si>
    <t>unit price</t>
    <phoneticPr fontId="18" type="noConversion"/>
  </si>
  <si>
    <t>Glass-epoxy (UD*), Vf = 0.5</t>
    <phoneticPr fontId="18" type="noConversion"/>
  </si>
  <si>
    <t>$/kg</t>
    <phoneticPr fontId="18" type="noConversion"/>
  </si>
  <si>
    <t>$</t>
    <phoneticPr fontId="18" type="noConversion"/>
  </si>
  <si>
    <t>WindPACT Blade</t>
  </si>
  <si>
    <t>IEA Wind Task 37 Land-Based Reference Wind Turbine Blade</t>
  </si>
  <si>
    <t>SNL-100-03</t>
  </si>
  <si>
    <t>blade</t>
    <phoneticPr fontId="18" type="noConversion"/>
  </si>
  <si>
    <t>length</t>
    <phoneticPr fontId="18" type="noConversion"/>
  </si>
  <si>
    <t>wind speed</t>
    <phoneticPr fontId="18" type="noConversion"/>
  </si>
  <si>
    <t>thrust</t>
    <phoneticPr fontId="18" type="noConversion"/>
  </si>
  <si>
    <t>kN</t>
    <phoneticPr fontId="18" type="noConversion"/>
  </si>
  <si>
    <t>Design Load</t>
    <phoneticPr fontId="18" type="noConversion"/>
  </si>
  <si>
    <t>Proof Load</t>
    <phoneticPr fontId="18" type="noConversion"/>
  </si>
  <si>
    <t>Direct Drive PMG</t>
  </si>
  <si>
    <t>Comments</t>
  </si>
  <si>
    <t>Rated power</t>
  </si>
  <si>
    <t>Gearbox ratio, k</t>
  </si>
  <si>
    <t>Generator rotational speed</t>
  </si>
  <si>
    <t>Generator rated torque, T</t>
  </si>
  <si>
    <t>Nm</t>
  </si>
  <si>
    <t>Generator "radius/axial length" ratio or R/L</t>
  </si>
  <si>
    <r>
      <t xml:space="preserve">Electromagnetic Shear Stress, </t>
    </r>
    <r>
      <rPr>
        <sz val="11"/>
        <color theme="1"/>
        <rFont val="Calibri"/>
        <family val="2"/>
      </rPr>
      <t>σ</t>
    </r>
  </si>
  <si>
    <t>Pa</t>
  </si>
  <si>
    <t>Assume 40kPa</t>
  </si>
  <si>
    <t>Generator radius, R</t>
  </si>
  <si>
    <t>Generator axial length, L</t>
  </si>
  <si>
    <r>
      <t>Generator cylinder surface area, 2</t>
    </r>
    <r>
      <rPr>
        <sz val="11"/>
        <color theme="1"/>
        <rFont val="Calibri"/>
        <family val="2"/>
      </rPr>
      <t>πRL</t>
    </r>
  </si>
  <si>
    <t>m2</t>
  </si>
  <si>
    <t>Generator volume, V</t>
  </si>
  <si>
    <t>m3</t>
  </si>
  <si>
    <t>Iron mass</t>
  </si>
  <si>
    <t>ton</t>
  </si>
  <si>
    <t>Use Surface Area x "Mass/surface area" (from Polinder)</t>
  </si>
  <si>
    <t>Copper mass</t>
  </si>
  <si>
    <t>Permanent magnet mass</t>
  </si>
  <si>
    <t>Pole pitch guess</t>
  </si>
  <si>
    <t>0.1m pole pitch is similar to Polinder</t>
  </si>
  <si>
    <t>Poles guess</t>
  </si>
  <si>
    <t>Pole pairs guess</t>
  </si>
  <si>
    <t>Integer pole pairs</t>
  </si>
  <si>
    <t>Pole pairs must be integer, so round to nearest</t>
  </si>
  <si>
    <t>Integer poles</t>
  </si>
  <si>
    <t>Pole pitch</t>
  </si>
  <si>
    <t>Copper loss estimate</t>
  </si>
  <si>
    <t>Estimate based on Surface Area x "loss/surface area"</t>
  </si>
  <si>
    <t>Iron loss estimate</t>
  </si>
  <si>
    <t>Total loss estimate</t>
  </si>
  <si>
    <t>Paper</t>
  </si>
  <si>
    <t>IEEE TRANSACTIONS ON ENERGY CONVERSION, VOL. 21, NO. 3, SEPTEMBER 2006 725 Comparison of Direct-Drive and Geared Generator Concepts for Wind Turbines</t>
  </si>
  <si>
    <t>Rotational speed</t>
  </si>
  <si>
    <t>Digital Object Identifier 10.1109/TEC.2006.875476</t>
  </si>
  <si>
    <t>https://ieeexplore.ieee.org/document/1677663</t>
  </si>
  <si>
    <t>Polinder et al.</t>
  </si>
  <si>
    <t>Rated torque, T</t>
  </si>
  <si>
    <t>-</t>
  </si>
  <si>
    <t>Electromagnetic Shear Force, F</t>
  </si>
  <si>
    <t>N</t>
  </si>
  <si>
    <t>m^2</t>
  </si>
  <si>
    <t>Permanent magnt mass</t>
  </si>
  <si>
    <t>Iron mass/area</t>
  </si>
  <si>
    <t>ton/m2</t>
  </si>
  <si>
    <t>Copper mass/area</t>
  </si>
  <si>
    <t>Permanent magnet mass/area</t>
  </si>
  <si>
    <t>Pole pairs</t>
  </si>
  <si>
    <t>Poles</t>
  </si>
  <si>
    <t>Rated iron losses</t>
  </si>
  <si>
    <t>Rated copper losses</t>
  </si>
  <si>
    <t>Iron losses per area</t>
  </si>
  <si>
    <t>W/m2</t>
  </si>
  <si>
    <t>Copper losses per area</t>
  </si>
  <si>
    <t>Losses per area</t>
  </si>
  <si>
    <t>w</t>
    <phoneticPr fontId="18" type="noConversion"/>
  </si>
  <si>
    <t>gear ratios 1:1</t>
    <phoneticPr fontId="18" type="noConversion"/>
  </si>
  <si>
    <t>4.5MW</t>
    <phoneticPr fontId="18" type="noConversion"/>
  </si>
  <si>
    <t>Assume Kasp=2</t>
    <phoneticPr fontId="18" type="noConversion"/>
  </si>
  <si>
    <t>Copper mass</t>
    <phoneticPr fontId="18" type="noConversion"/>
  </si>
  <si>
    <t>Table 1</t>
  </si>
  <si>
    <t>Table 2</t>
  </si>
  <si>
    <t>t</t>
    <phoneticPr fontId="18" type="noConversion"/>
  </si>
  <si>
    <t>hub height</t>
    <phoneticPr fontId="18" type="noConversion"/>
  </si>
  <si>
    <t>concrete plinth</t>
  </si>
  <si>
    <t>buried depth</t>
  </si>
  <si>
    <t>kg/m3</t>
  </si>
  <si>
    <t>density of the soil and rock backfill</t>
  </si>
  <si>
    <t>rotor thrust</t>
  </si>
  <si>
    <t>kN</t>
  </si>
  <si>
    <t>density of reinforced concrete</t>
    <phoneticPr fontId="18" type="noConversion"/>
  </si>
  <si>
    <t>Total mass</t>
    <phoneticPr fontId="18" type="noConversion"/>
  </si>
  <si>
    <t>Rotor mass</t>
    <phoneticPr fontId="18" type="noConversion"/>
  </si>
  <si>
    <t>Nacelle mass</t>
    <phoneticPr fontId="18" type="noConversion"/>
  </si>
  <si>
    <t>Tower mass</t>
    <phoneticPr fontId="18" type="noConversion"/>
  </si>
  <si>
    <t>overturning moment is Mt</t>
    <phoneticPr fontId="18" type="noConversion"/>
  </si>
  <si>
    <t>Mt=TH</t>
    <phoneticPr fontId="18" type="noConversion"/>
  </si>
  <si>
    <t>kNm</t>
    <phoneticPr fontId="18" type="noConversion"/>
  </si>
  <si>
    <t>concrete 
plinth and the overlying soil Mc</t>
  </si>
  <si>
    <t>mass of soil Ms_x001D_</t>
  </si>
  <si>
    <t>The total mass of the base Mb_x001F_</t>
  </si>
  <si>
    <t>weight W of the foundation</t>
  </si>
  <si>
    <t>gravity g</t>
    <phoneticPr fontId="18" type="noConversion"/>
  </si>
  <si>
    <t>m/s²</t>
    <phoneticPr fontId="18" type="noConversion"/>
  </si>
  <si>
    <t>B² kg</t>
    <phoneticPr fontId="18" type="noConversion"/>
  </si>
  <si>
    <t>B² N</t>
    <phoneticPr fontId="18" type="noConversion"/>
  </si>
  <si>
    <t>weight W of the tower+nacelle+roter</t>
    <phoneticPr fontId="18" type="noConversion"/>
  </si>
  <si>
    <t>N</t>
    <phoneticPr fontId="18" type="noConversion"/>
  </si>
  <si>
    <t>weight moment Mw</t>
    <phoneticPr fontId="18" type="noConversion"/>
  </si>
  <si>
    <t>£</t>
    <phoneticPr fontId="18" type="noConversion"/>
  </si>
  <si>
    <t>(1$=0.8£,    13/4/2023 UTC 16:53)</t>
    <phoneticPr fontId="18" type="noConversion"/>
  </si>
  <si>
    <t>Mw=WB/2</t>
    <phoneticPr fontId="18" type="noConversion"/>
  </si>
  <si>
    <t>B³ Nm</t>
    <phoneticPr fontId="18" type="noConversion"/>
  </si>
  <si>
    <t>B</t>
    <phoneticPr fontId="18" type="noConversion"/>
  </si>
  <si>
    <t>m</t>
    <phoneticPr fontId="18" type="noConversion"/>
  </si>
  <si>
    <t>weight moment Mw'</t>
    <phoneticPr fontId="18" type="noConversion"/>
  </si>
  <si>
    <t xml:space="preserve">B </t>
    <phoneticPr fontId="18" type="noConversion"/>
  </si>
  <si>
    <t>Nm</t>
    <phoneticPr fontId="18" type="noConversion"/>
  </si>
  <si>
    <t>Target stress (MPa) GF</t>
    <phoneticPr fontId="18" type="noConversion"/>
  </si>
  <si>
    <t>Target stress (MPa) GF+CF</t>
    <phoneticPr fontId="18" type="noConversion"/>
  </si>
  <si>
    <t>Target stress (MPa) CF</t>
    <phoneticPr fontId="18" type="noConversion"/>
  </si>
  <si>
    <t>GF Mass and Cost estimates</t>
    <phoneticPr fontId="18" type="noConversion"/>
  </si>
  <si>
    <t>CF Mass and Cost estimates</t>
    <phoneticPr fontId="18" type="noConversion"/>
  </si>
  <si>
    <t>(2/3GF+1/3CF) Mass and Cost estimates</t>
    <phoneticPr fontId="18" type="noConversion"/>
  </si>
  <si>
    <t>Reference</t>
    <phoneticPr fontId="18" type="noConversion"/>
  </si>
  <si>
    <t>material cost $</t>
    <phoneticPr fontId="18" type="noConversion"/>
  </si>
  <si>
    <t>"V1"</t>
  </si>
  <si>
    <t>"V2"</t>
  </si>
  <si>
    <t>Rayleigh fit at 78.5m</t>
  </si>
  <si>
    <t>Tubular Tower Part Info</t>
    <phoneticPr fontId="18" type="noConversion"/>
  </si>
  <si>
    <t>Height</t>
    <phoneticPr fontId="18" type="noConversion"/>
  </si>
  <si>
    <t>Tower Material</t>
    <phoneticPr fontId="18" type="noConversion"/>
  </si>
  <si>
    <t>Steel</t>
    <phoneticPr fontId="18" type="noConversion"/>
  </si>
  <si>
    <t>Material</t>
    <phoneticPr fontId="18" type="noConversion"/>
  </si>
  <si>
    <t>E</t>
    <phoneticPr fontId="18" type="noConversion"/>
  </si>
  <si>
    <t>Shear modulus</t>
    <phoneticPr fontId="18" type="noConversion"/>
  </si>
  <si>
    <t>Density</t>
    <phoneticPr fontId="18" type="noConversion"/>
  </si>
  <si>
    <t>Mpa</t>
    <phoneticPr fontId="18" type="noConversion"/>
  </si>
  <si>
    <t>Yield stress</t>
    <phoneticPr fontId="18" type="noConversion"/>
  </si>
  <si>
    <t>Element</t>
    <phoneticPr fontId="18" type="noConversion"/>
  </si>
  <si>
    <t>Element Initial length</t>
    <phoneticPr fontId="18" type="noConversion"/>
  </si>
  <si>
    <t>Diameter(m)</t>
    <phoneticPr fontId="18" type="noConversion"/>
  </si>
  <si>
    <t>Height(m)</t>
    <phoneticPr fontId="18" type="noConversion"/>
  </si>
  <si>
    <t>Thickness(mm)</t>
    <phoneticPr fontId="18" type="noConversion"/>
  </si>
  <si>
    <t>n</t>
  </si>
  <si>
    <t>rotations / second</t>
  </si>
  <si>
    <t>1P multiplier</t>
  </si>
  <si>
    <t>1P</t>
  </si>
  <si>
    <t>1P excitation frequency</t>
  </si>
  <si>
    <t>Hz</t>
  </si>
  <si>
    <t>2P multiplier</t>
  </si>
  <si>
    <t>2P</t>
  </si>
  <si>
    <t>2P excitation frequency</t>
  </si>
  <si>
    <t>f_2P</t>
  </si>
  <si>
    <t>3P multiplier</t>
  </si>
  <si>
    <t>3P</t>
  </si>
  <si>
    <t>3P excitation frequency</t>
  </si>
  <si>
    <t>f_3P</t>
  </si>
  <si>
    <t>where</t>
  </si>
  <si>
    <t>Blade flapwise vibration natural frequency</t>
  </si>
  <si>
    <t>f_n</t>
  </si>
  <si>
    <t>Frequency ratio, 1P</t>
  </si>
  <si>
    <t>r_1P</t>
  </si>
  <si>
    <t>Frequency ratio, 2P</t>
  </si>
  <si>
    <t>r_2P</t>
  </si>
  <si>
    <t>Frequency ratio, 3P</t>
  </si>
  <si>
    <t>r_3P</t>
  </si>
  <si>
    <t>If damping is 0 then</t>
  </si>
  <si>
    <t>No damping</t>
  </si>
  <si>
    <t>Aerodynamic damping</t>
  </si>
  <si>
    <t>ζ=0</t>
  </si>
  <si>
    <t>ζ=0.15</t>
  </si>
  <si>
    <t>Dynamic magnification factor, 1P</t>
  </si>
  <si>
    <t>Q_1P</t>
  </si>
  <si>
    <t>Dynamic magnification factor, 2P</t>
  </si>
  <si>
    <t>Q_2P</t>
  </si>
  <si>
    <t>Dynamic magnification factor, 3P</t>
  </si>
  <si>
    <t>Q_3P</t>
  </si>
  <si>
    <t>f_1P</t>
    <phoneticPr fontId="18" type="noConversion"/>
  </si>
  <si>
    <t>Tower Resonance</t>
    <phoneticPr fontId="18" type="noConversion"/>
  </si>
  <si>
    <t>Natural frequency 3</t>
  </si>
  <si>
    <t>Natural frequency  2</t>
    <phoneticPr fontId="18" type="noConversion"/>
  </si>
  <si>
    <t>Natural frequency 1</t>
    <phoneticPr fontId="18" type="noConversion"/>
  </si>
  <si>
    <t>1P (Hz)</t>
    <phoneticPr fontId="2" type="noConversion"/>
  </si>
  <si>
    <t>2P (Hz)</t>
    <phoneticPr fontId="2" type="noConversion"/>
  </si>
  <si>
    <t>3P (Hz)</t>
    <phoneticPr fontId="2" type="noConversion"/>
  </si>
  <si>
    <t>1P (rpm)</t>
    <phoneticPr fontId="2" type="noConversion"/>
  </si>
  <si>
    <t>blade cost $</t>
    <phoneticPr fontId="18" type="noConversion"/>
  </si>
  <si>
    <t>Simulation Input Data</t>
  </si>
  <si>
    <t>omega</t>
  </si>
  <si>
    <t xml:space="preserve">Hub radius </t>
  </si>
  <si>
    <t>V</t>
  </si>
  <si>
    <t>Blade Station View</t>
  </si>
  <si>
    <t>Velocity Triangle View</t>
  </si>
  <si>
    <t>Sensor Data</t>
  </si>
  <si>
    <t>Calculations</t>
  </si>
  <si>
    <t>CAD &amp; Sensor View - Blade Station #</t>
  </si>
  <si>
    <t>Velocity Triangle - Blade Station #</t>
  </si>
  <si>
    <t>Aerofoil</t>
  </si>
  <si>
    <t>Chord</t>
  </si>
  <si>
    <t>Distance to Root</t>
  </si>
  <si>
    <t>Influence length</t>
  </si>
  <si>
    <t>Axial induction factor, a</t>
  </si>
  <si>
    <t>c_D</t>
  </si>
  <si>
    <t>c_L</t>
  </si>
  <si>
    <t>Local Wind Speed</t>
  </si>
  <si>
    <t>Relative Wind Speed</t>
  </si>
  <si>
    <t>Axial Induction Factor</t>
  </si>
  <si>
    <t>Induced Velocity</t>
  </si>
  <si>
    <t>Lift force distributed</t>
  </si>
  <si>
    <t>Drag force, distributed</t>
  </si>
  <si>
    <t xml:space="preserve">Thrust force </t>
  </si>
  <si>
    <t>Bending Moment</t>
    <phoneticPr fontId="3" type="noConversion"/>
  </si>
  <si>
    <t>R_mid</t>
  </si>
  <si>
    <t>dr</t>
  </si>
  <si>
    <t>c</t>
  </si>
  <si>
    <t>U_calc</t>
  </si>
  <si>
    <t>a</t>
  </si>
  <si>
    <t>(aV)_calc</t>
  </si>
  <si>
    <t>W_calc</t>
  </si>
  <si>
    <t>ΔW</t>
  </si>
  <si>
    <t>Δα</t>
  </si>
  <si>
    <t>(D/dr)_calc</t>
  </si>
  <si>
    <t>ΔD/dr</t>
  </si>
  <si>
    <t>(L/dr)_calc</t>
  </si>
  <si>
    <t>ΔL/dr</t>
  </si>
  <si>
    <t>F_res/dr</t>
  </si>
  <si>
    <t>(F_ax/dr)_calc</t>
  </si>
  <si>
    <t>Δ(F_ax/dr)</t>
  </si>
  <si>
    <t>(F_tan/dr)_calc</t>
  </si>
  <si>
    <t>Δ(F_tan/dr)</t>
  </si>
  <si>
    <t>F_ax</t>
  </si>
  <si>
    <t>r.F_tan</t>
  </si>
  <si>
    <t>deg</t>
  </si>
  <si>
    <t>N/m</t>
  </si>
  <si>
    <t>kNm</t>
    <phoneticPr fontId="3" type="noConversion"/>
  </si>
  <si>
    <t>%</t>
  </si>
  <si>
    <t>rad</t>
  </si>
  <si>
    <t>Nm</t>
    <phoneticPr fontId="3" type="noConversion"/>
  </si>
  <si>
    <t>1 blade</t>
  </si>
  <si>
    <t>3 blades</t>
  </si>
  <si>
    <t>calculated value</t>
  </si>
  <si>
    <t>rated power</t>
  </si>
  <si>
    <t>w</t>
  </si>
  <si>
    <t>decided</t>
  </si>
  <si>
    <t>cut wind</t>
  </si>
  <si>
    <t>rated wind</t>
  </si>
  <si>
    <t>cut out</t>
  </si>
  <si>
    <t>Diameter</t>
  </si>
  <si>
    <t>radio</t>
  </si>
  <si>
    <t xml:space="preserve">sweatp area </t>
  </si>
  <si>
    <t>calculated</t>
  </si>
  <si>
    <t>max tip speed</t>
  </si>
  <si>
    <t>Specific power</t>
  </si>
  <si>
    <t>w/m2</t>
  </si>
  <si>
    <t>hub height</t>
  </si>
  <si>
    <t>Tip speed ratio at rated</t>
  </si>
  <si>
    <t>Rated rotor speed</t>
  </si>
  <si>
    <t>wind speed</t>
  </si>
  <si>
    <t>Tip speed ratio</t>
  </si>
  <si>
    <t>Rotor speed (rad/s)</t>
  </si>
  <si>
    <t>Rotor speed (rpm)</t>
  </si>
  <si>
    <t>Torque (kNm)</t>
  </si>
  <si>
    <t>measured value</t>
  </si>
  <si>
    <t>Wind Speed (m)</t>
    <phoneticPr fontId="18" type="noConversion"/>
  </si>
  <si>
    <t>Power (kW)</t>
    <phoneticPr fontId="18" type="noConversion"/>
  </si>
  <si>
    <t>P90 Energy (kWh)</t>
    <phoneticPr fontId="18" type="noConversion"/>
  </si>
  <si>
    <t>energy per WT per year</t>
    <phoneticPr fontId="18" type="noConversion"/>
  </si>
  <si>
    <t>energy 3 WTs per year</t>
    <phoneticPr fontId="18" type="noConversion"/>
  </si>
  <si>
    <t>Calculation process</t>
    <phoneticPr fontId="18" type="noConversion"/>
  </si>
  <si>
    <t xml:space="preserve">Calculated Bending moment </t>
    <phoneticPr fontId="18" type="noConversion"/>
  </si>
  <si>
    <t>(kNm)</t>
    <phoneticPr fontId="18" type="noConversion"/>
  </si>
  <si>
    <t>Air density, ρ</t>
  </si>
  <si>
    <t>Twist Angle, β</t>
  </si>
  <si>
    <t>Angle of Attack, α</t>
  </si>
  <si>
    <t>Pitch angle, θ</t>
  </si>
  <si>
    <r>
      <rPr>
        <sz val="11"/>
        <color theme="1"/>
        <rFont val="Calibri"/>
        <family val="2"/>
      </rPr>
      <t>Ω</t>
    </r>
  </si>
  <si>
    <t>Inflow Angle, φ_calc</t>
  </si>
  <si>
    <t>Angle of Attack, α_calc</t>
  </si>
  <si>
    <t>W</t>
    <phoneticPr fontId="18" type="noConversion"/>
  </si>
  <si>
    <t>P in wind</t>
    <phoneticPr fontId="18" type="noConversion"/>
  </si>
  <si>
    <t>kW</t>
    <phoneticPr fontId="18" type="noConversion"/>
  </si>
  <si>
    <t>rad/s</t>
    <phoneticPr fontId="18" type="noConversion"/>
  </si>
  <si>
    <t>rpm</t>
    <phoneticPr fontId="18" type="noConversion"/>
  </si>
  <si>
    <t>P_max</t>
    <phoneticPr fontId="18" type="noConversion"/>
  </si>
  <si>
    <t>P_generated</t>
    <phoneticPr fontId="18" type="noConversion"/>
  </si>
  <si>
    <t>Cp</t>
    <phoneticPr fontId="18" type="noConversion"/>
  </si>
  <si>
    <t>°</t>
    <phoneticPr fontId="18" type="noConversion"/>
  </si>
  <si>
    <t xml:space="preserve">Rotational speed </t>
    <phoneticPr fontId="18" type="noConversion"/>
  </si>
  <si>
    <t>Pitch Angle</t>
    <phoneticPr fontId="18" type="noConversion"/>
  </si>
  <si>
    <t>Torque</t>
    <phoneticPr fontId="18" type="noConversion"/>
  </si>
  <si>
    <t xml:space="preserve">Rotational Speed </t>
    <phoneticPr fontId="18" type="noConversion"/>
  </si>
  <si>
    <t>Wind Speed</t>
    <phoneticPr fontId="18" type="noConversion"/>
  </si>
  <si>
    <r>
      <t xml:space="preserve">B³ </t>
    </r>
    <r>
      <rPr>
        <sz val="11"/>
        <color theme="1"/>
        <rFont val="等线"/>
        <family val="2"/>
      </rPr>
      <t>＋</t>
    </r>
    <phoneticPr fontId="18" type="noConversion"/>
  </si>
  <si>
    <r>
      <t>Mw</t>
    </r>
    <r>
      <rPr>
        <b/>
        <sz val="11"/>
        <color theme="1"/>
        <rFont val="等线"/>
        <family val="3"/>
        <charset val="134"/>
      </rPr>
      <t>≥</t>
    </r>
    <r>
      <rPr>
        <b/>
        <sz val="11"/>
        <color theme="1"/>
        <rFont val="Arial"/>
        <family val="2"/>
      </rPr>
      <t>3Mt</t>
    </r>
    <phoneticPr fontId="18" type="noConversion"/>
  </si>
  <si>
    <r>
      <t>Mw'</t>
    </r>
    <r>
      <rPr>
        <b/>
        <sz val="11"/>
        <color theme="1"/>
        <rFont val="等线"/>
        <family val="3"/>
        <charset val="134"/>
      </rPr>
      <t>≥</t>
    </r>
    <r>
      <rPr>
        <b/>
        <sz val="11"/>
        <color theme="1"/>
        <rFont val="Arial"/>
        <family val="2"/>
      </rPr>
      <t>3Mt</t>
    </r>
    <phoneticPr fontId="18" type="noConversion"/>
  </si>
  <si>
    <t>Electromagnetic Shear Stress, σ</t>
  </si>
  <si>
    <t>Generator cylinder surface area, 2πRL</t>
  </si>
  <si>
    <t>Stress s</t>
  </si>
  <si>
    <r>
      <t>V(percentage</t>
    </r>
    <r>
      <rPr>
        <b/>
        <sz val="11"/>
        <color theme="1"/>
        <rFont val="等线"/>
        <family val="3"/>
        <charset val="134"/>
      </rPr>
      <t>）</t>
    </r>
    <phoneticPr fontId="18" type="noConversion"/>
  </si>
  <si>
    <r>
      <t>ρ</t>
    </r>
    <r>
      <rPr>
        <b/>
        <sz val="11"/>
        <color theme="1"/>
        <rFont val="等线"/>
        <family val="3"/>
        <charset val="134"/>
      </rPr>
      <t>（</t>
    </r>
    <r>
      <rPr>
        <b/>
        <sz val="11"/>
        <color theme="1"/>
        <rFont val="Arial"/>
        <family val="2"/>
      </rPr>
      <t>density</t>
    </r>
    <r>
      <rPr>
        <b/>
        <sz val="11"/>
        <color theme="1"/>
        <rFont val="等线"/>
        <family val="3"/>
        <charset val="134"/>
      </rPr>
      <t>）</t>
    </r>
    <phoneticPr fontId="18" type="noConversion"/>
  </si>
  <si>
    <r>
      <t xml:space="preserve">guess </t>
    </r>
    <r>
      <rPr>
        <sz val="11"/>
        <color theme="1"/>
        <rFont val="等线"/>
        <family val="2"/>
      </rPr>
      <t>（</t>
    </r>
    <r>
      <rPr>
        <sz val="11"/>
        <color theme="1"/>
        <rFont val="Arial"/>
        <family val="2"/>
      </rPr>
      <t>Borrowed from Enercon E-112/45.114</t>
    </r>
    <r>
      <rPr>
        <sz val="11"/>
        <color theme="1"/>
        <rFont val="等线"/>
        <family val="2"/>
      </rPr>
      <t>）</t>
    </r>
    <phoneticPr fontId="18" type="noConversion"/>
  </si>
  <si>
    <t>2021 Cost of Wind Energy Review (nrel.gov)</t>
  </si>
  <si>
    <t>£</t>
  </si>
  <si>
    <t>Annual cost (fixed)</t>
    <phoneticPr fontId="3" type="noConversion"/>
  </si>
  <si>
    <t>Insurance and taxes</t>
    <phoneticPr fontId="3" type="noConversion"/>
  </si>
  <si>
    <t>Electrical O&amp;M</t>
    <phoneticPr fontId="3" type="noConversion"/>
  </si>
  <si>
    <t>Management</t>
    <phoneticPr fontId="3" type="noConversion"/>
  </si>
  <si>
    <t>Annual costs (variable)</t>
    <phoneticPr fontId="3" type="noConversion"/>
  </si>
  <si>
    <t>Availability warranty</t>
  </si>
  <si>
    <t>discount rate</t>
  </si>
  <si>
    <t>https://www.gov.uk/government/publications/dhsc-group-accounting-manual-2021-to-2022/department-of-health-and-social-care-group-accounting-manual-2021-to-2022-additional-guidance-version-1#:~:text=Post%2Demployment%20benefits%20provisions,of%20CPI%20measured%20at%202.90%25.</t>
  </si>
  <si>
    <t>Annual energy yield</t>
    <phoneticPr fontId="3" type="noConversion"/>
  </si>
  <si>
    <t>MWh</t>
    <phoneticPr fontId="3" type="noConversion"/>
  </si>
  <si>
    <t>Total capital costs C</t>
    <phoneticPr fontId="3" type="noConversion"/>
  </si>
  <si>
    <t>Total fixed costs</t>
    <phoneticPr fontId="3" type="noConversion"/>
  </si>
  <si>
    <t>£</t>
    <phoneticPr fontId="3" type="noConversion"/>
  </si>
  <si>
    <t>Annual cost per unit output O</t>
    <phoneticPr fontId="3" type="noConversion"/>
  </si>
  <si>
    <t>£/MWh</t>
    <phoneticPr fontId="3" type="noConversion"/>
  </si>
  <si>
    <t>Discounting factor S_n</t>
    <phoneticPr fontId="3" type="noConversion"/>
  </si>
  <si>
    <t>LCoE</t>
    <phoneticPr fontId="3" type="noConversion"/>
  </si>
  <si>
    <t>WT P_r</t>
    <phoneticPr fontId="18" type="noConversion"/>
  </si>
  <si>
    <t>$/kW</t>
    <phoneticPr fontId="18" type="noConversion"/>
  </si>
  <si>
    <t>Wind Turbine CapEx</t>
    <phoneticPr fontId="18" type="noConversion"/>
  </si>
  <si>
    <t>Rotor</t>
    <phoneticPr fontId="18" type="noConversion"/>
  </si>
  <si>
    <t>Nacelle</t>
    <phoneticPr fontId="18" type="noConversion"/>
  </si>
  <si>
    <t>Tower</t>
    <phoneticPr fontId="18" type="noConversion"/>
  </si>
  <si>
    <t>Bos CapEx</t>
    <phoneticPr fontId="18" type="noConversion"/>
  </si>
  <si>
    <t>Engineering</t>
    <phoneticPr fontId="18" type="noConversion"/>
  </si>
  <si>
    <t>Project Management</t>
    <phoneticPr fontId="18" type="noConversion"/>
  </si>
  <si>
    <t>Foundation</t>
    <phoneticPr fontId="18" type="noConversion"/>
  </si>
  <si>
    <t>Site access, staing, facilities</t>
    <phoneticPr fontId="18" type="noConversion"/>
  </si>
  <si>
    <t>Assembly and installation</t>
    <phoneticPr fontId="18" type="noConversion"/>
  </si>
  <si>
    <t>Electrical infrastructure</t>
    <phoneticPr fontId="18" type="noConversion"/>
  </si>
  <si>
    <t>Financial CapEx</t>
    <phoneticPr fontId="18" type="noConversion"/>
  </si>
  <si>
    <t>Construction finance</t>
    <phoneticPr fontId="18" type="noConversion"/>
  </si>
  <si>
    <t>Contingency</t>
    <phoneticPr fontId="18" type="noConversion"/>
  </si>
  <si>
    <t>Total CapEx</t>
    <phoneticPr fontId="18" type="noConversion"/>
  </si>
  <si>
    <t>Parameter</t>
    <phoneticPr fontId="18" type="noConversion"/>
  </si>
  <si>
    <t>Cost</t>
    <phoneticPr fontId="18" type="noConversion"/>
  </si>
  <si>
    <t>Value</t>
    <phoneticPr fontId="18" type="noConversion"/>
  </si>
  <si>
    <t>Averaged CapEx</t>
    <phoneticPr fontId="18" type="noConversion"/>
  </si>
  <si>
    <t>scale 15 to factor of 0.9047</t>
    <phoneticPr fontId="18" type="noConversion"/>
  </si>
  <si>
    <t>Estimated OpEx</t>
    <phoneticPr fontId="18" type="noConversion"/>
  </si>
  <si>
    <t>tutorial</t>
    <phoneticPr fontId="18" type="noConversion"/>
  </si>
  <si>
    <t>£/MWh</t>
    <phoneticPr fontId="18" type="noConversion"/>
  </si>
  <si>
    <t>£/kW-yr</t>
    <phoneticPr fontId="18" type="noConversion"/>
  </si>
  <si>
    <t>Estimated Total OpEx</t>
    <phoneticPr fontId="18" type="noConversion"/>
  </si>
  <si>
    <t>£/yr</t>
    <phoneticPr fontId="18" type="noConversion"/>
  </si>
  <si>
    <t>Assuming a 20-year lifetime</t>
    <phoneticPr fontId="18" type="noConversion"/>
  </si>
  <si>
    <t>Iron mass price per tons</t>
  </si>
  <si>
    <t>Copper mass price tons</t>
  </si>
  <si>
    <t>Commodities - Live Quote Price Trading Data (tradingeconomics.com)</t>
  </si>
  <si>
    <t>USD/tons</t>
    <phoneticPr fontId="18" type="noConversion"/>
  </si>
  <si>
    <t>£/tons</t>
  </si>
  <si>
    <t>£/tons</t>
    <phoneticPr fontId="18" type="noConversion"/>
  </si>
  <si>
    <t>USD/Lbs</t>
    <phoneticPr fontId="18" type="noConversion"/>
  </si>
  <si>
    <t>Price date</t>
    <phoneticPr fontId="18" type="noConversion"/>
  </si>
  <si>
    <t>21/4/2023</t>
    <phoneticPr fontId="18" type="noConversion"/>
  </si>
  <si>
    <t>Price</t>
    <phoneticPr fontId="18" type="noConversion"/>
  </si>
  <si>
    <t>Price in £</t>
    <phoneticPr fontId="18" type="noConversion"/>
  </si>
  <si>
    <r>
      <t>Neodymium</t>
    </r>
    <r>
      <rPr>
        <b/>
        <sz val="11"/>
        <color theme="1"/>
        <rFont val="等线"/>
        <family val="2"/>
      </rPr>
      <t>（</t>
    </r>
    <r>
      <rPr>
        <b/>
        <sz val="11"/>
        <color theme="1"/>
        <rFont val="Arial"/>
        <family val="2"/>
      </rPr>
      <t>Permanent magnet</t>
    </r>
    <r>
      <rPr>
        <b/>
        <sz val="11"/>
        <color theme="1"/>
        <rFont val="等线"/>
        <family val="2"/>
      </rPr>
      <t>）</t>
    </r>
    <r>
      <rPr>
        <b/>
        <sz val="11"/>
        <color theme="1"/>
        <rFont val="Arial"/>
        <family val="2"/>
      </rPr>
      <t xml:space="preserve"> mass price per tons</t>
    </r>
    <phoneticPr fontId="18" type="noConversion"/>
  </si>
  <si>
    <t>RMB/tons</t>
    <phoneticPr fontId="18" type="noConversion"/>
  </si>
  <si>
    <t>(1$=0.8£, 1¥=0.12£   13/4/2023 UTC 16:53)</t>
    <phoneticPr fontId="18" type="noConversion"/>
  </si>
  <si>
    <t>Total Cost</t>
    <phoneticPr fontId="18" type="noConversion"/>
  </si>
  <si>
    <t>Iron</t>
    <phoneticPr fontId="18" type="noConversion"/>
  </si>
  <si>
    <t>Copper</t>
    <phoneticPr fontId="18" type="noConversion"/>
  </si>
  <si>
    <t>Permanent magnet</t>
    <phoneticPr fontId="18" type="noConversion"/>
  </si>
  <si>
    <t xml:space="preserve">cost </t>
  </si>
  <si>
    <t>volume</t>
  </si>
  <si>
    <t>m³</t>
  </si>
  <si>
    <t>cost list</t>
  </si>
  <si>
    <t>Ready Mix Concrete Prices for 2023 | Mister Concrete</t>
  </si>
  <si>
    <t>steel bars</t>
  </si>
  <si>
    <t xml:space="preserve">concrete </t>
  </si>
  <si>
    <t>total</t>
  </si>
  <si>
    <t>steel bars needed</t>
    <phoneticPr fontId="18" type="noConversion"/>
  </si>
  <si>
    <t>Concrete C40 price</t>
    <phoneticPr fontId="18" type="noConversion"/>
  </si>
  <si>
    <t>£/m³</t>
    <phoneticPr fontId="18" type="noConversion"/>
  </si>
  <si>
    <t>£/t</t>
    <phoneticPr fontId="18" type="noConversion"/>
  </si>
  <si>
    <t>price</t>
    <phoneticPr fontId="18" type="noConversion"/>
  </si>
  <si>
    <t>(1¥=0.12£   13/4/2023 UTC 16:53)</t>
    <phoneticPr fontId="18" type="noConversion"/>
  </si>
  <si>
    <t>Price Date</t>
    <phoneticPr fontId="18" type="noConversion"/>
  </si>
  <si>
    <t>¥/t</t>
    <phoneticPr fontId="18" type="noConversion"/>
  </si>
  <si>
    <t>Typical Turbine Type</t>
  </si>
  <si>
    <t>Project Cost</t>
  </si>
  <si>
    <t>Norvento nED100</t>
  </si>
  <si>
    <t>Enercon E53</t>
  </si>
  <si>
    <t>EWT DW61</t>
  </si>
  <si>
    <t>Enercon E82</t>
  </si>
  <si>
    <t>Enercon E126 EP3</t>
  </si>
  <si>
    <t>Maximum Power Output (kW)</t>
    <phoneticPr fontId="18" type="noConversion"/>
  </si>
  <si>
    <t>k£</t>
    <phoneticPr fontId="18" type="noConversion"/>
  </si>
  <si>
    <t>actual cost around</t>
    <phoneticPr fontId="18" type="noConversion"/>
  </si>
  <si>
    <t>How much does a wind turbine cost ? - Renewables First</t>
  </si>
  <si>
    <t>estimate for 4500</t>
    <phoneticPr fontId="18" type="noConversion"/>
  </si>
  <si>
    <t>Blade Design</t>
    <phoneticPr fontId="18" type="noConversion"/>
  </si>
  <si>
    <t>Wind Turbine Scaling</t>
    <phoneticPr fontId="18" type="noConversion"/>
  </si>
  <si>
    <t>Cp &amp; Ct Curve</t>
    <phoneticPr fontId="18" type="noConversion"/>
  </si>
  <si>
    <t>Rotor Scaling</t>
    <phoneticPr fontId="18" type="noConversion"/>
  </si>
  <si>
    <t>Design Load</t>
  </si>
  <si>
    <t>Proof Load</t>
  </si>
  <si>
    <t xml:space="preserve">Calculated Bending moment </t>
  </si>
  <si>
    <t>Station</t>
  </si>
  <si>
    <t>Airfoil</t>
  </si>
  <si>
    <t>Chord length</t>
  </si>
  <si>
    <t>Max rel. thickness</t>
  </si>
  <si>
    <t>Target stress (MPa) CF</t>
  </si>
  <si>
    <t>b</t>
  </si>
  <si>
    <t>(Pa)</t>
  </si>
  <si>
    <t>CF Mass and Cost estimates</t>
  </si>
  <si>
    <t>Spar cap length L</t>
  </si>
  <si>
    <t>Volume</t>
  </si>
  <si>
    <t xml:space="preserve">Spar cap mass </t>
  </si>
  <si>
    <t>(m³)</t>
  </si>
  <si>
    <t>(kg)</t>
  </si>
  <si>
    <t>total mass</t>
  </si>
  <si>
    <t>kg</t>
  </si>
  <si>
    <t>unit price</t>
  </si>
  <si>
    <t>$/kg</t>
  </si>
  <si>
    <t>cost</t>
  </si>
  <si>
    <t>$</t>
  </si>
  <si>
    <t>Target stress (MPa) GF+CF</t>
  </si>
  <si>
    <t>(2/3GF+1/3CF) Mass and Cost estimates</t>
  </si>
  <si>
    <t>composite material in the spar</t>
  </si>
  <si>
    <t>material</t>
  </si>
  <si>
    <t xml:space="preserve">E(Young's modulus) </t>
  </si>
  <si>
    <t>V(percentage）</t>
  </si>
  <si>
    <t>ρ（density）</t>
  </si>
  <si>
    <t>Glass-epoxy (UD*), Vf = 0.5</t>
  </si>
  <si>
    <t>GPa</t>
  </si>
  <si>
    <t>kg/m³</t>
  </si>
  <si>
    <t>Carbon fibre-epoxy (UD), Vf = 0.6</t>
  </si>
  <si>
    <t>net tensile modulus</t>
  </si>
  <si>
    <t>Tower Design</t>
    <phoneticPr fontId="18" type="noConversion"/>
  </si>
  <si>
    <t>f_1P</t>
  </si>
  <si>
    <t>Tower Resonance</t>
  </si>
  <si>
    <t>1P (rpm)</t>
  </si>
  <si>
    <t>1P (Hz)</t>
  </si>
  <si>
    <t>2P (Hz)</t>
  </si>
  <si>
    <t>3P (Hz)</t>
  </si>
  <si>
    <t>Natural frequency 1</t>
  </si>
  <si>
    <t>Natural frequency  2</t>
  </si>
  <si>
    <t>Generator Design</t>
    <phoneticPr fontId="18" type="noConversion"/>
  </si>
  <si>
    <t>Foundation Design</t>
    <phoneticPr fontId="18" type="noConversion"/>
  </si>
  <si>
    <t>assumed</t>
    <phoneticPr fontId="18" type="noConversion"/>
  </si>
  <si>
    <t>Steel price</t>
    <phoneticPr fontId="18" type="noConversion"/>
  </si>
  <si>
    <t>A Detailed Wind Turbine Blade Cost Model (nrel.gov)</t>
  </si>
  <si>
    <t>Energy Yield</t>
    <phoneticPr fontId="18" type="noConversion"/>
  </si>
  <si>
    <t>Wind Speed (m)</t>
  </si>
  <si>
    <t>Power (kW)</t>
  </si>
  <si>
    <t>P90 Energy (kWh)</t>
  </si>
  <si>
    <t>energy per WT per year</t>
  </si>
  <si>
    <t>energy 3 WTs per year</t>
  </si>
  <si>
    <t>Controller Design</t>
    <phoneticPr fontId="18" type="noConversion"/>
  </si>
  <si>
    <t>Curves</t>
    <phoneticPr fontId="18" type="noConversion"/>
  </si>
  <si>
    <t>Cost Attemption</t>
    <phoneticPr fontId="18" type="noConversion"/>
  </si>
  <si>
    <t>life time</t>
    <phoneticPr fontId="18" type="noConversion"/>
  </si>
  <si>
    <t>year</t>
    <phoneticPr fontId="18" type="noConversion"/>
  </si>
  <si>
    <t>WT P_rated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</si>
</sst>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"/>
    <numFmt numFmtId="177" formatCode="0.0"/>
    <numFmt numFmtId="178" formatCode="0.000000"/>
    <numFmt numFmtId="179" formatCode="0.0%"/>
    <numFmt numFmtId="180" formatCode="0.0000"/>
    <numFmt numFmtId="181" formatCode="0.00000"/>
    <numFmt numFmtId="182" formatCode="0.00000_);[Red]\(0.00000\)"/>
    <numFmt numFmtId="183" formatCode="0.00_);[Red]\(0.00\)"/>
    <numFmt numFmtId="184" formatCode="#,##0.000"/>
    <numFmt numFmtId="185" formatCode="_-[$£-809]* #,##0.00_-;\-[$£-809]* #,##0.00_-;_-[$£-809]* &quot;-&quot;??_-;_-@_-"/>
  </numFmts>
  <fonts count="4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等线"/>
      <family val="3"/>
      <charset val="134"/>
    </font>
    <font>
      <u/>
      <sz val="11"/>
      <color theme="10"/>
      <name val="等线"/>
      <family val="2"/>
      <scheme val="minor"/>
    </font>
    <font>
      <b/>
      <sz val="1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等线"/>
      <family val="2"/>
    </font>
    <font>
      <sz val="11"/>
      <color theme="1"/>
      <name val="Arial Unicode MS"/>
      <family val="2"/>
      <charset val="134"/>
    </font>
    <font>
      <sz val="11"/>
      <color rgb="FFFF000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1"/>
      <name val="Arial"/>
      <family val="2"/>
    </font>
    <font>
      <b/>
      <sz val="12"/>
      <color theme="1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  <xf numFmtId="0" fontId="19" fillId="0" borderId="0"/>
    <xf numFmtId="0" fontId="3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47">
    <xf numFmtId="0" fontId="0" fillId="0" borderId="0" xfId="0"/>
    <xf numFmtId="11" fontId="0" fillId="0" borderId="0" xfId="0" applyNumberFormat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19" fillId="0" borderId="0" xfId="43"/>
    <xf numFmtId="0" fontId="20" fillId="34" borderId="0" xfId="43" applyFont="1" applyFill="1" applyAlignment="1">
      <alignment horizontal="center" vertical="top" wrapText="1"/>
    </xf>
    <xf numFmtId="179" fontId="19" fillId="0" borderId="0" xfId="42" applyNumberFormat="1" applyFont="1" applyBorder="1" applyAlignment="1">
      <alignment horizontal="center" vertical="top" wrapText="1"/>
    </xf>
    <xf numFmtId="0" fontId="20" fillId="0" borderId="13" xfId="43" applyFont="1" applyBorder="1" applyAlignment="1">
      <alignment vertical="top"/>
    </xf>
    <xf numFmtId="0" fontId="20" fillId="0" borderId="14" xfId="43" applyFont="1" applyBorder="1" applyAlignment="1">
      <alignment horizontal="center" vertical="top"/>
    </xf>
    <xf numFmtId="0" fontId="20" fillId="0" borderId="14" xfId="43" applyFont="1" applyBorder="1" applyAlignment="1">
      <alignment horizontal="center" vertical="top" wrapText="1"/>
    </xf>
    <xf numFmtId="0" fontId="21" fillId="0" borderId="14" xfId="0" applyFont="1" applyBorder="1" applyAlignment="1">
      <alignment vertical="top"/>
    </xf>
    <xf numFmtId="49" fontId="21" fillId="0" borderId="14" xfId="0" applyNumberFormat="1" applyFont="1" applyBorder="1" applyAlignment="1">
      <alignment horizontal="center" vertical="top"/>
    </xf>
    <xf numFmtId="0" fontId="20" fillId="0" borderId="15" xfId="43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/>
    </xf>
    <xf numFmtId="179" fontId="19" fillId="0" borderId="10" xfId="42" applyNumberFormat="1" applyFont="1" applyBorder="1" applyAlignment="1">
      <alignment horizontal="center" vertical="top" wrapText="1"/>
    </xf>
    <xf numFmtId="0" fontId="20" fillId="0" borderId="13" xfId="43" applyFont="1" applyBorder="1" applyAlignment="1">
      <alignment horizontal="center" vertical="top"/>
    </xf>
    <xf numFmtId="0" fontId="20" fillId="0" borderId="15" xfId="43" applyFont="1" applyBorder="1" applyAlignment="1">
      <alignment horizontal="center" vertical="top"/>
    </xf>
    <xf numFmtId="0" fontId="20" fillId="0" borderId="0" xfId="43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182" fontId="22" fillId="0" borderId="0" xfId="0" applyNumberFormat="1" applyFont="1"/>
    <xf numFmtId="176" fontId="22" fillId="0" borderId="0" xfId="0" applyNumberFormat="1" applyFont="1"/>
    <xf numFmtId="176" fontId="22" fillId="0" borderId="10" xfId="0" applyNumberFormat="1" applyFont="1" applyBorder="1"/>
    <xf numFmtId="182" fontId="22" fillId="0" borderId="10" xfId="0" applyNumberFormat="1" applyFont="1" applyBorder="1"/>
    <xf numFmtId="0" fontId="23" fillId="0" borderId="13" xfId="43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0" fillId="0" borderId="13" xfId="43" applyFont="1" applyBorder="1" applyAlignment="1">
      <alignment horizontal="center" vertical="top" wrapText="1"/>
    </xf>
    <xf numFmtId="176" fontId="22" fillId="0" borderId="11" xfId="0" applyNumberFormat="1" applyFont="1" applyBorder="1"/>
    <xf numFmtId="176" fontId="22" fillId="0" borderId="12" xfId="0" applyNumberFormat="1" applyFont="1" applyBorder="1"/>
    <xf numFmtId="182" fontId="25" fillId="0" borderId="10" xfId="0" applyNumberFormat="1" applyFont="1" applyBorder="1"/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center" vertical="center" wrapText="1"/>
    </xf>
    <xf numFmtId="182" fontId="25" fillId="0" borderId="0" xfId="0" applyNumberFormat="1" applyFont="1"/>
    <xf numFmtId="0" fontId="20" fillId="0" borderId="15" xfId="43" applyFont="1" applyBorder="1" applyAlignment="1">
      <alignment horizontal="center" vertical="center" wrapText="1"/>
    </xf>
    <xf numFmtId="176" fontId="25" fillId="0" borderId="0" xfId="0" applyNumberFormat="1" applyFont="1"/>
    <xf numFmtId="9" fontId="25" fillId="0" borderId="0" xfId="42" applyFont="1" applyFill="1" applyBorder="1" applyAlignment="1"/>
    <xf numFmtId="180" fontId="25" fillId="0" borderId="0" xfId="0" applyNumberFormat="1" applyFont="1"/>
    <xf numFmtId="0" fontId="25" fillId="0" borderId="0" xfId="0" applyFont="1"/>
    <xf numFmtId="2" fontId="25" fillId="0" borderId="0" xfId="0" applyNumberFormat="1" applyFont="1"/>
    <xf numFmtId="177" fontId="25" fillId="0" borderId="0" xfId="0" applyNumberFormat="1" applyFont="1"/>
    <xf numFmtId="2" fontId="25" fillId="0" borderId="0" xfId="42" applyNumberFormat="1" applyFont="1" applyFill="1" applyBorder="1" applyAlignment="1"/>
    <xf numFmtId="2" fontId="21" fillId="0" borderId="0" xfId="0" applyNumberFormat="1" applyFont="1"/>
    <xf numFmtId="176" fontId="25" fillId="0" borderId="16" xfId="0" applyNumberFormat="1" applyFont="1" applyBorder="1"/>
    <xf numFmtId="176" fontId="25" fillId="0" borderId="10" xfId="0" applyNumberFormat="1" applyFont="1" applyBorder="1"/>
    <xf numFmtId="176" fontId="25" fillId="0" borderId="17" xfId="0" applyNumberFormat="1" applyFont="1" applyBorder="1"/>
    <xf numFmtId="180" fontId="25" fillId="0" borderId="11" xfId="0" applyNumberFormat="1" applyFont="1" applyBorder="1"/>
    <xf numFmtId="180" fontId="25" fillId="0" borderId="16" xfId="0" applyNumberFormat="1" applyFont="1" applyBorder="1"/>
    <xf numFmtId="180" fontId="25" fillId="0" borderId="12" xfId="0" applyNumberFormat="1" applyFont="1" applyBorder="1"/>
    <xf numFmtId="180" fontId="25" fillId="0" borderId="10" xfId="0" applyNumberFormat="1" applyFont="1" applyBorder="1"/>
    <xf numFmtId="180" fontId="25" fillId="0" borderId="17" xfId="0" applyNumberFormat="1" applyFont="1" applyBorder="1"/>
    <xf numFmtId="2" fontId="25" fillId="0" borderId="11" xfId="0" applyNumberFormat="1" applyFont="1" applyBorder="1"/>
    <xf numFmtId="9" fontId="25" fillId="0" borderId="16" xfId="42" applyFont="1" applyFill="1" applyBorder="1" applyAlignment="1"/>
    <xf numFmtId="2" fontId="25" fillId="0" borderId="12" xfId="0" applyNumberFormat="1" applyFont="1" applyBorder="1"/>
    <xf numFmtId="2" fontId="25" fillId="0" borderId="10" xfId="0" applyNumberFormat="1" applyFont="1" applyBorder="1"/>
    <xf numFmtId="0" fontId="25" fillId="0" borderId="10" xfId="0" applyFont="1" applyBorder="1"/>
    <xf numFmtId="177" fontId="25" fillId="0" borderId="10" xfId="0" applyNumberFormat="1" applyFont="1" applyBorder="1"/>
    <xf numFmtId="9" fontId="25" fillId="0" borderId="10" xfId="42" applyFont="1" applyFill="1" applyBorder="1" applyAlignment="1"/>
    <xf numFmtId="2" fontId="25" fillId="0" borderId="10" xfId="42" applyNumberFormat="1" applyFont="1" applyFill="1" applyBorder="1" applyAlignment="1"/>
    <xf numFmtId="9" fontId="25" fillId="0" borderId="17" xfId="42" applyFont="1" applyFill="1" applyBorder="1" applyAlignment="1"/>
    <xf numFmtId="0" fontId="25" fillId="0" borderId="23" xfId="0" applyFont="1" applyBorder="1"/>
    <xf numFmtId="0" fontId="25" fillId="0" borderId="18" xfId="0" applyFont="1" applyBorder="1"/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5" borderId="21" xfId="0" applyFont="1" applyFill="1" applyBorder="1" applyAlignment="1">
      <alignment horizontal="center" vertical="center" wrapText="1"/>
    </xf>
    <xf numFmtId="0" fontId="25" fillId="36" borderId="19" xfId="0" applyFont="1" applyFill="1" applyBorder="1" applyAlignment="1">
      <alignment horizontal="center" vertical="center" wrapText="1"/>
    </xf>
    <xf numFmtId="0" fontId="25" fillId="36" borderId="20" xfId="0" applyFont="1" applyFill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center" vertical="center" wrapText="1"/>
    </xf>
    <xf numFmtId="0" fontId="25" fillId="37" borderId="19" xfId="0" applyFont="1" applyFill="1" applyBorder="1" applyAlignment="1">
      <alignment horizontal="center" vertical="center" wrapText="1"/>
    </xf>
    <xf numFmtId="0" fontId="25" fillId="37" borderId="20" xfId="0" applyFont="1" applyFill="1" applyBorder="1" applyAlignment="1">
      <alignment horizontal="center" vertical="center" wrapText="1"/>
    </xf>
    <xf numFmtId="0" fontId="25" fillId="38" borderId="19" xfId="0" applyFont="1" applyFill="1" applyBorder="1" applyAlignment="1">
      <alignment horizontal="center" vertical="center" wrapText="1"/>
    </xf>
    <xf numFmtId="0" fontId="25" fillId="38" borderId="20" xfId="0" applyFont="1" applyFill="1" applyBorder="1" applyAlignment="1">
      <alignment horizontal="center" vertical="center" wrapText="1"/>
    </xf>
    <xf numFmtId="0" fontId="25" fillId="38" borderId="21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0" borderId="11" xfId="0" applyFont="1" applyBorder="1"/>
    <xf numFmtId="0" fontId="25" fillId="0" borderId="16" xfId="0" applyFont="1" applyBorder="1"/>
    <xf numFmtId="0" fontId="25" fillId="0" borderId="12" xfId="0" applyFont="1" applyBorder="1"/>
    <xf numFmtId="0" fontId="25" fillId="0" borderId="17" xfId="0" applyFont="1" applyBorder="1"/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35" borderId="22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35" borderId="12" xfId="0" applyFont="1" applyFill="1" applyBorder="1" applyAlignment="1">
      <alignment horizontal="center" vertical="center"/>
    </xf>
    <xf numFmtId="0" fontId="25" fillId="35" borderId="10" xfId="0" applyFont="1" applyFill="1" applyBorder="1" applyAlignment="1">
      <alignment horizontal="center" vertical="center"/>
    </xf>
    <xf numFmtId="0" fontId="25" fillId="35" borderId="17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0" fontId="25" fillId="36" borderId="10" xfId="0" applyFont="1" applyFill="1" applyBorder="1" applyAlignment="1">
      <alignment horizontal="center" vertical="center"/>
    </xf>
    <xf numFmtId="0" fontId="25" fillId="36" borderId="17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center" vertical="center"/>
    </xf>
    <xf numFmtId="0" fontId="25" fillId="37" borderId="10" xfId="0" quotePrefix="1" applyFont="1" applyFill="1" applyBorder="1" applyAlignment="1">
      <alignment horizontal="center" vertical="center"/>
    </xf>
    <xf numFmtId="0" fontId="25" fillId="37" borderId="10" xfId="0" applyFont="1" applyFill="1" applyBorder="1" applyAlignment="1">
      <alignment horizontal="center" vertical="center"/>
    </xf>
    <xf numFmtId="0" fontId="25" fillId="38" borderId="12" xfId="0" applyFont="1" applyFill="1" applyBorder="1" applyAlignment="1">
      <alignment horizontal="center" vertical="center"/>
    </xf>
    <xf numFmtId="0" fontId="25" fillId="38" borderId="10" xfId="0" applyFont="1" applyFill="1" applyBorder="1" applyAlignment="1">
      <alignment horizontal="center" vertical="center"/>
    </xf>
    <xf numFmtId="0" fontId="25" fillId="38" borderId="10" xfId="0" quotePrefix="1" applyFont="1" applyFill="1" applyBorder="1" applyAlignment="1">
      <alignment horizontal="center" vertical="center"/>
    </xf>
    <xf numFmtId="0" fontId="25" fillId="38" borderId="17" xfId="0" applyFont="1" applyFill="1" applyBorder="1" applyAlignment="1">
      <alignment horizontal="center" vertical="center"/>
    </xf>
    <xf numFmtId="0" fontId="25" fillId="35" borderId="18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182" fontId="22" fillId="0" borderId="14" xfId="0" applyNumberFormat="1" applyFont="1" applyBorder="1"/>
    <xf numFmtId="176" fontId="22" fillId="0" borderId="14" xfId="0" applyNumberFormat="1" applyFont="1" applyBorder="1"/>
    <xf numFmtId="179" fontId="19" fillId="0" borderId="14" xfId="42" applyNumberFormat="1" applyFont="1" applyBorder="1" applyAlignment="1">
      <alignment horizontal="center" vertical="top" wrapText="1"/>
    </xf>
    <xf numFmtId="0" fontId="28" fillId="0" borderId="0" xfId="0" applyFont="1"/>
    <xf numFmtId="0" fontId="21" fillId="0" borderId="13" xfId="0" applyFont="1" applyBorder="1"/>
    <xf numFmtId="0" fontId="25" fillId="0" borderId="14" xfId="0" applyFont="1" applyBorder="1"/>
    <xf numFmtId="0" fontId="25" fillId="0" borderId="15" xfId="0" applyFont="1" applyBorder="1"/>
    <xf numFmtId="0" fontId="21" fillId="0" borderId="11" xfId="0" applyFont="1" applyBorder="1"/>
    <xf numFmtId="0" fontId="21" fillId="0" borderId="12" xfId="0" applyFont="1" applyBorder="1"/>
    <xf numFmtId="0" fontId="29" fillId="0" borderId="0" xfId="0" applyFont="1"/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5" fillId="0" borderId="13" xfId="0" applyFont="1" applyBorder="1"/>
    <xf numFmtId="181" fontId="25" fillId="0" borderId="0" xfId="0" applyNumberFormat="1" applyFont="1"/>
    <xf numFmtId="178" fontId="25" fillId="0" borderId="0" xfId="0" applyNumberFormat="1" applyFont="1"/>
    <xf numFmtId="181" fontId="25" fillId="0" borderId="10" xfId="0" applyNumberFormat="1" applyFont="1" applyBorder="1"/>
    <xf numFmtId="178" fontId="25" fillId="0" borderId="10" xfId="0" applyNumberFormat="1" applyFont="1" applyBorder="1"/>
    <xf numFmtId="0" fontId="30" fillId="0" borderId="0" xfId="0" applyFont="1"/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/>
    </xf>
    <xf numFmtId="2" fontId="25" fillId="0" borderId="16" xfId="0" applyNumberFormat="1" applyFont="1" applyBorder="1"/>
    <xf numFmtId="0" fontId="21" fillId="0" borderId="19" xfId="0" applyFont="1" applyBorder="1" applyAlignment="1">
      <alignment horizontal="center" wrapText="1"/>
    </xf>
    <xf numFmtId="0" fontId="21" fillId="0" borderId="20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left"/>
    </xf>
    <xf numFmtId="0" fontId="21" fillId="0" borderId="19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5" fillId="0" borderId="20" xfId="0" applyFont="1" applyBorder="1"/>
    <xf numFmtId="0" fontId="25" fillId="0" borderId="21" xfId="0" applyFont="1" applyBorder="1"/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4" xfId="0" applyFont="1" applyBorder="1"/>
    <xf numFmtId="2" fontId="25" fillId="0" borderId="14" xfId="0" applyNumberFormat="1" applyFont="1" applyBorder="1"/>
    <xf numFmtId="0" fontId="21" fillId="0" borderId="0" xfId="0" applyFont="1"/>
    <xf numFmtId="1" fontId="25" fillId="0" borderId="0" xfId="0" applyNumberFormat="1" applyFont="1"/>
    <xf numFmtId="0" fontId="25" fillId="0" borderId="16" xfId="0" quotePrefix="1" applyFont="1" applyBorder="1"/>
    <xf numFmtId="0" fontId="21" fillId="0" borderId="10" xfId="0" applyFont="1" applyBorder="1"/>
    <xf numFmtId="2" fontId="25" fillId="0" borderId="17" xfId="0" applyNumberFormat="1" applyFont="1" applyBorder="1"/>
    <xf numFmtId="0" fontId="21" fillId="0" borderId="1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4" xfId="0" applyFont="1" applyBorder="1" applyAlignment="1">
      <alignment horizontal="center"/>
    </xf>
    <xf numFmtId="0" fontId="21" fillId="0" borderId="17" xfId="0" applyFont="1" applyBorder="1"/>
    <xf numFmtId="184" fontId="25" fillId="0" borderId="14" xfId="0" applyNumberFormat="1" applyFont="1" applyBorder="1"/>
    <xf numFmtId="0" fontId="21" fillId="0" borderId="15" xfId="0" applyFont="1" applyBorder="1"/>
    <xf numFmtId="0" fontId="21" fillId="0" borderId="16" xfId="0" applyFont="1" applyBorder="1"/>
    <xf numFmtId="184" fontId="25" fillId="0" borderId="0" xfId="0" applyNumberFormat="1" applyFont="1"/>
    <xf numFmtId="0" fontId="21" fillId="0" borderId="0" xfId="0" applyFont="1" applyAlignment="1">
      <alignment horizontal="center" vertical="center"/>
    </xf>
    <xf numFmtId="11" fontId="25" fillId="0" borderId="0" xfId="0" applyNumberFormat="1" applyFont="1"/>
    <xf numFmtId="11" fontId="25" fillId="0" borderId="10" xfId="0" applyNumberFormat="1" applyFont="1" applyBorder="1"/>
    <xf numFmtId="0" fontId="19" fillId="0" borderId="11" xfId="43" applyBorder="1"/>
    <xf numFmtId="0" fontId="19" fillId="0" borderId="0" xfId="43" applyAlignment="1">
      <alignment horizontal="center" vertical="top" wrapText="1"/>
    </xf>
    <xf numFmtId="0" fontId="19" fillId="0" borderId="16" xfId="43" applyBorder="1" applyAlignment="1">
      <alignment horizontal="center" vertical="top" wrapText="1"/>
    </xf>
    <xf numFmtId="1" fontId="19" fillId="34" borderId="0" xfId="43" applyNumberFormat="1" applyFill="1" applyAlignment="1">
      <alignment horizontal="center" vertical="top" wrapText="1"/>
    </xf>
    <xf numFmtId="0" fontId="19" fillId="0" borderId="11" xfId="43" applyBorder="1" applyAlignment="1">
      <alignment horizontal="center" vertical="top" wrapText="1"/>
    </xf>
    <xf numFmtId="0" fontId="19" fillId="0" borderId="16" xfId="43" applyBorder="1" applyAlignment="1">
      <alignment horizontal="center" vertical="center"/>
    </xf>
    <xf numFmtId="176" fontId="19" fillId="0" borderId="0" xfId="43" applyNumberFormat="1" applyAlignment="1">
      <alignment wrapText="1"/>
    </xf>
    <xf numFmtId="177" fontId="19" fillId="0" borderId="0" xfId="43" applyNumberFormat="1" applyAlignment="1">
      <alignment wrapText="1"/>
    </xf>
    <xf numFmtId="11" fontId="19" fillId="0" borderId="0" xfId="43" applyNumberFormat="1" applyAlignment="1">
      <alignment wrapText="1"/>
    </xf>
    <xf numFmtId="1" fontId="19" fillId="0" borderId="16" xfId="43" applyNumberFormat="1" applyBorder="1" applyAlignment="1">
      <alignment wrapText="1"/>
    </xf>
    <xf numFmtId="176" fontId="19" fillId="0" borderId="11" xfId="43" applyNumberFormat="1" applyBorder="1"/>
    <xf numFmtId="178" fontId="19" fillId="0" borderId="16" xfId="43" applyNumberFormat="1" applyBorder="1"/>
    <xf numFmtId="176" fontId="19" fillId="0" borderId="11" xfId="43" applyNumberFormat="1" applyBorder="1" applyAlignment="1">
      <alignment wrapText="1"/>
    </xf>
    <xf numFmtId="0" fontId="19" fillId="0" borderId="16" xfId="43" applyBorder="1"/>
    <xf numFmtId="0" fontId="19" fillId="0" borderId="0" xfId="43" applyAlignment="1">
      <alignment wrapText="1"/>
    </xf>
    <xf numFmtId="0" fontId="19" fillId="0" borderId="12" xfId="43" applyBorder="1"/>
    <xf numFmtId="176" fontId="19" fillId="0" borderId="10" xfId="43" applyNumberFormat="1" applyBorder="1" applyAlignment="1">
      <alignment wrapText="1"/>
    </xf>
    <xf numFmtId="177" fontId="19" fillId="0" borderId="10" xfId="43" applyNumberFormat="1" applyBorder="1" applyAlignment="1">
      <alignment wrapText="1"/>
    </xf>
    <xf numFmtId="11" fontId="19" fillId="0" borderId="10" xfId="43" applyNumberFormat="1" applyBorder="1" applyAlignment="1">
      <alignment wrapText="1"/>
    </xf>
    <xf numFmtId="1" fontId="19" fillId="0" borderId="17" xfId="43" applyNumberFormat="1" applyBorder="1" applyAlignment="1">
      <alignment wrapText="1"/>
    </xf>
    <xf numFmtId="176" fontId="19" fillId="0" borderId="12" xfId="43" applyNumberFormat="1" applyBorder="1"/>
    <xf numFmtId="0" fontId="19" fillId="0" borderId="10" xfId="43" applyBorder="1"/>
    <xf numFmtId="178" fontId="19" fillId="0" borderId="17" xfId="43" applyNumberFormat="1" applyBorder="1"/>
    <xf numFmtId="0" fontId="19" fillId="0" borderId="17" xfId="43" applyBorder="1"/>
    <xf numFmtId="1" fontId="19" fillId="0" borderId="0" xfId="43" applyNumberFormat="1" applyAlignment="1">
      <alignment horizontal="center" vertical="top" wrapText="1"/>
    </xf>
    <xf numFmtId="176" fontId="19" fillId="0" borderId="0" xfId="43" applyNumberFormat="1" applyAlignment="1">
      <alignment horizontal="center" vertical="top" wrapText="1"/>
    </xf>
    <xf numFmtId="177" fontId="19" fillId="0" borderId="0" xfId="43" applyNumberFormat="1" applyAlignment="1">
      <alignment horizontal="center" vertical="top" wrapText="1"/>
    </xf>
    <xf numFmtId="11" fontId="19" fillId="0" borderId="0" xfId="43" applyNumberFormat="1" applyAlignment="1">
      <alignment horizontal="center" vertical="top" wrapText="1"/>
    </xf>
    <xf numFmtId="2" fontId="19" fillId="0" borderId="0" xfId="43" applyNumberFormat="1" applyAlignment="1">
      <alignment horizontal="center" vertical="top" wrapText="1"/>
    </xf>
    <xf numFmtId="0" fontId="19" fillId="0" borderId="13" xfId="43" applyBorder="1"/>
    <xf numFmtId="176" fontId="19" fillId="0" borderId="14" xfId="43" applyNumberFormat="1" applyBorder="1" applyAlignment="1">
      <alignment wrapText="1"/>
    </xf>
    <xf numFmtId="177" fontId="19" fillId="0" borderId="14" xfId="43" applyNumberFormat="1" applyBorder="1" applyAlignment="1">
      <alignment wrapText="1"/>
    </xf>
    <xf numFmtId="11" fontId="19" fillId="0" borderId="14" xfId="43" applyNumberFormat="1" applyBorder="1" applyAlignment="1">
      <alignment wrapText="1"/>
    </xf>
    <xf numFmtId="1" fontId="19" fillId="0" borderId="15" xfId="43" applyNumberFormat="1" applyBorder="1" applyAlignment="1">
      <alignment wrapText="1"/>
    </xf>
    <xf numFmtId="0" fontId="25" fillId="0" borderId="16" xfId="0" applyFont="1" applyBorder="1" applyAlignment="1">
      <alignment horizontal="center"/>
    </xf>
    <xf numFmtId="176" fontId="25" fillId="0" borderId="14" xfId="0" applyNumberFormat="1" applyFont="1" applyBorder="1"/>
    <xf numFmtId="183" fontId="25" fillId="0" borderId="14" xfId="0" applyNumberFormat="1" applyFont="1" applyBorder="1"/>
    <xf numFmtId="183" fontId="25" fillId="0" borderId="0" xfId="0" applyNumberFormat="1" applyFont="1"/>
    <xf numFmtId="183" fontId="25" fillId="0" borderId="10" xfId="0" applyNumberFormat="1" applyFont="1" applyBorder="1"/>
    <xf numFmtId="4" fontId="25" fillId="0" borderId="0" xfId="0" applyNumberFormat="1" applyFont="1"/>
    <xf numFmtId="4" fontId="25" fillId="0" borderId="16" xfId="0" applyNumberFormat="1" applyFont="1" applyBorder="1"/>
    <xf numFmtId="0" fontId="25" fillId="0" borderId="11" xfId="0" applyFont="1" applyBorder="1" applyAlignment="1">
      <alignment wrapText="1"/>
    </xf>
    <xf numFmtId="4" fontId="25" fillId="0" borderId="10" xfId="0" applyNumberFormat="1" applyFont="1" applyBorder="1"/>
    <xf numFmtId="4" fontId="25" fillId="0" borderId="17" xfId="0" applyNumberFormat="1" applyFont="1" applyBorder="1"/>
    <xf numFmtId="0" fontId="25" fillId="37" borderId="21" xfId="0" applyFont="1" applyFill="1" applyBorder="1" applyAlignment="1">
      <alignment horizontal="center" vertical="center" wrapText="1"/>
    </xf>
    <xf numFmtId="0" fontId="25" fillId="37" borderId="17" xfId="0" applyFont="1" applyFill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top" wrapText="1"/>
    </xf>
    <xf numFmtId="177" fontId="19" fillId="0" borderId="17" xfId="0" applyNumberFormat="1" applyFont="1" applyBorder="1" applyAlignment="1">
      <alignment horizontal="center" vertical="top" wrapText="1"/>
    </xf>
    <xf numFmtId="0" fontId="25" fillId="0" borderId="13" xfId="0" applyFont="1" applyBorder="1" applyAlignment="1">
      <alignment horizontal="center" vertical="center" wrapText="1"/>
    </xf>
    <xf numFmtId="11" fontId="25" fillId="0" borderId="14" xfId="0" applyNumberFormat="1" applyFont="1" applyBorder="1"/>
    <xf numFmtId="0" fontId="25" fillId="33" borderId="11" xfId="0" applyFont="1" applyFill="1" applyBorder="1"/>
    <xf numFmtId="0" fontId="25" fillId="33" borderId="0" xfId="0" applyFont="1" applyFill="1"/>
    <xf numFmtId="0" fontId="25" fillId="33" borderId="16" xfId="0" applyFont="1" applyFill="1" applyBorder="1"/>
    <xf numFmtId="0" fontId="25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33" fillId="0" borderId="0" xfId="44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2" fontId="25" fillId="0" borderId="14" xfId="0" applyNumberFormat="1" applyFont="1" applyBorder="1" applyAlignment="1">
      <alignment horizontal="center"/>
    </xf>
    <xf numFmtId="2" fontId="25" fillId="0" borderId="0" xfId="0" applyNumberFormat="1" applyFont="1" applyAlignment="1">
      <alignment horizontal="right"/>
    </xf>
    <xf numFmtId="0" fontId="36" fillId="0" borderId="0" xfId="0" applyFont="1"/>
    <xf numFmtId="0" fontId="37" fillId="0" borderId="0" xfId="44" applyFont="1"/>
    <xf numFmtId="0" fontId="34" fillId="0" borderId="0" xfId="44" applyFont="1" applyFill="1" applyBorder="1"/>
    <xf numFmtId="0" fontId="35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9" fontId="0" fillId="0" borderId="0" xfId="45" applyFont="1" applyFill="1" applyBorder="1"/>
    <xf numFmtId="185" fontId="0" fillId="0" borderId="0" xfId="0" applyNumberFormat="1"/>
    <xf numFmtId="9" fontId="0" fillId="0" borderId="0" xfId="45" applyFont="1" applyFill="1" applyBorder="1" applyAlignment="1">
      <alignment vertical="top"/>
    </xf>
    <xf numFmtId="0" fontId="0" fillId="0" borderId="0" xfId="0" applyAlignment="1">
      <alignment vertical="top"/>
    </xf>
    <xf numFmtId="185" fontId="0" fillId="0" borderId="0" xfId="0" applyNumberFormat="1" applyAlignment="1">
      <alignment vertical="top"/>
    </xf>
    <xf numFmtId="0" fontId="16" fillId="0" borderId="0" xfId="0" applyFont="1" applyAlignment="1">
      <alignment vertical="top" wrapText="1"/>
    </xf>
    <xf numFmtId="0" fontId="37" fillId="0" borderId="0" xfId="44" applyFont="1" applyBorder="1"/>
    <xf numFmtId="177" fontId="25" fillId="0" borderId="14" xfId="0" applyNumberFormat="1" applyFont="1" applyBorder="1"/>
    <xf numFmtId="0" fontId="25" fillId="0" borderId="0" xfId="0" applyFont="1" applyAlignment="1">
      <alignment horizontal="left"/>
    </xf>
    <xf numFmtId="0" fontId="37" fillId="0" borderId="0" xfId="44" applyFont="1" applyFill="1" applyBorder="1"/>
    <xf numFmtId="0" fontId="21" fillId="0" borderId="19" xfId="0" applyFont="1" applyBorder="1"/>
    <xf numFmtId="0" fontId="40" fillId="0" borderId="12" xfId="0" applyFont="1" applyBorder="1" applyAlignment="1">
      <alignment horizontal="right"/>
    </xf>
    <xf numFmtId="0" fontId="40" fillId="0" borderId="10" xfId="0" applyFont="1" applyBorder="1"/>
    <xf numFmtId="0" fontId="3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35" borderId="19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1" fillId="35" borderId="21" xfId="0" applyFont="1" applyFill="1" applyBorder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1" fillId="36" borderId="20" xfId="0" applyFont="1" applyFill="1" applyBorder="1" applyAlignment="1">
      <alignment horizontal="center" vertical="center"/>
    </xf>
    <xf numFmtId="0" fontId="21" fillId="36" borderId="21" xfId="0" applyFont="1" applyFill="1" applyBorder="1" applyAlignment="1">
      <alignment horizontal="center" vertical="center"/>
    </xf>
    <xf numFmtId="0" fontId="21" fillId="37" borderId="19" xfId="0" applyFont="1" applyFill="1" applyBorder="1" applyAlignment="1">
      <alignment horizontal="center" vertical="center"/>
    </xf>
    <xf numFmtId="0" fontId="21" fillId="37" borderId="20" xfId="0" applyFont="1" applyFill="1" applyBorder="1" applyAlignment="1">
      <alignment horizontal="center" vertical="center"/>
    </xf>
    <xf numFmtId="0" fontId="21" fillId="37" borderId="21" xfId="0" applyFont="1" applyFill="1" applyBorder="1" applyAlignment="1">
      <alignment horizontal="center" vertical="center"/>
    </xf>
    <xf numFmtId="0" fontId="21" fillId="38" borderId="19" xfId="0" applyFont="1" applyFill="1" applyBorder="1" applyAlignment="1">
      <alignment horizontal="center" vertical="center"/>
    </xf>
    <xf numFmtId="0" fontId="21" fillId="38" borderId="20" xfId="0" applyFont="1" applyFill="1" applyBorder="1" applyAlignment="1">
      <alignment horizontal="center" vertical="center"/>
    </xf>
    <xf numFmtId="0" fontId="21" fillId="38" borderId="21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42" fillId="0" borderId="0" xfId="0" applyFont="1"/>
    <xf numFmtId="0" fontId="43" fillId="0" borderId="0" xfId="0" applyFont="1"/>
    <xf numFmtId="0" fontId="43" fillId="0" borderId="0" xfId="0" applyFont="1" applyFill="1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41" fillId="0" borderId="0" xfId="0" applyFont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4" fillId="0" borderId="0" xfId="0" applyFont="1"/>
    <xf numFmtId="0" fontId="41" fillId="0" borderId="11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41" fillId="0" borderId="14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5" fillId="0" borderId="0" xfId="0" applyFont="1" applyBorder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1" fillId="0" borderId="11" xfId="0" applyFont="1" applyBorder="1" applyAlignment="1">
      <alignment horizont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25" fillId="0" borderId="13" xfId="0" applyFont="1" applyBorder="1" applyAlignment="1"/>
    <xf numFmtId="2" fontId="25" fillId="0" borderId="0" xfId="0" applyNumberFormat="1" applyFont="1" applyBorder="1"/>
    <xf numFmtId="176" fontId="25" fillId="0" borderId="0" xfId="0" applyNumberFormat="1" applyFont="1" applyBorder="1"/>
    <xf numFmtId="0" fontId="42" fillId="0" borderId="0" xfId="0" applyFont="1" applyAlignment="1">
      <alignment vertical="center"/>
    </xf>
    <xf numFmtId="0" fontId="25" fillId="0" borderId="0" xfId="45" applyNumberFormat="1" applyFont="1" applyFill="1" applyBorder="1"/>
    <xf numFmtId="0" fontId="21" fillId="0" borderId="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11" fontId="25" fillId="0" borderId="14" xfId="0" applyNumberFormat="1" applyFont="1" applyFill="1" applyBorder="1"/>
    <xf numFmtId="0" fontId="25" fillId="0" borderId="15" xfId="0" applyFont="1" applyFill="1" applyBorder="1"/>
    <xf numFmtId="0" fontId="25" fillId="0" borderId="0" xfId="0" applyFont="1" applyFill="1"/>
    <xf numFmtId="0" fontId="25" fillId="0" borderId="16" xfId="0" applyFont="1" applyFill="1" applyBorder="1"/>
    <xf numFmtId="177" fontId="25" fillId="0" borderId="0" xfId="0" applyNumberFormat="1" applyFont="1" applyFill="1"/>
    <xf numFmtId="180" fontId="25" fillId="0" borderId="0" xfId="0" applyNumberFormat="1" applyFont="1" applyFill="1"/>
    <xf numFmtId="2" fontId="25" fillId="0" borderId="0" xfId="0" applyNumberFormat="1" applyFont="1" applyFill="1"/>
    <xf numFmtId="2" fontId="25" fillId="0" borderId="10" xfId="0" applyNumberFormat="1" applyFont="1" applyFill="1" applyBorder="1"/>
    <xf numFmtId="0" fontId="25" fillId="0" borderId="17" xfId="0" applyFont="1" applyFill="1" applyBorder="1"/>
    <xf numFmtId="0" fontId="25" fillId="0" borderId="13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5" fillId="0" borderId="11" xfId="0" applyFont="1" applyBorder="1" applyAlignment="1">
      <alignment horizontal="right"/>
    </xf>
    <xf numFmtId="0" fontId="25" fillId="0" borderId="12" xfId="0" applyFont="1" applyBorder="1" applyAlignment="1">
      <alignment horizontal="right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百分比 2" xfId="45" xr:uid="{CDD3139F-A161-4EB7-BB93-68547E13B072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1265D129-8A2B-4A7E-BDF4-E4D31FD4689E}"/>
    <cellStyle name="超链接" xfId="44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'cp-lambda data from Ashes'!$B$1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'cp-lambda data from Ashes'!$A$2:$A$163</c:f>
              <c:numCache>
                <c:formatCode>General</c:formatCode>
                <c:ptCount val="16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</c:v>
                </c:pt>
              </c:numCache>
            </c:numRef>
          </c:xVal>
          <c:yVal>
            <c:numRef>
              <c:f>'cp-lambda data from Ashes'!$B$2:$B$163</c:f>
              <c:numCache>
                <c:formatCode>General</c:formatCode>
                <c:ptCount val="162"/>
                <c:pt idx="0">
                  <c:v>5.2612600000000002E-3</c:v>
                </c:pt>
                <c:pt idx="1">
                  <c:v>5.9703500000000001E-3</c:v>
                </c:pt>
                <c:pt idx="2">
                  <c:v>6.7232100000000003E-3</c:v>
                </c:pt>
                <c:pt idx="3">
                  <c:v>7.5297200000000002E-3</c:v>
                </c:pt>
                <c:pt idx="4">
                  <c:v>8.4312899999999993E-3</c:v>
                </c:pt>
                <c:pt idx="5">
                  <c:v>9.5484899999999998E-3</c:v>
                </c:pt>
                <c:pt idx="6">
                  <c:v>1.10414E-2</c:v>
                </c:pt>
                <c:pt idx="7">
                  <c:v>1.3060199999999999E-2</c:v>
                </c:pt>
                <c:pt idx="8">
                  <c:v>1.5698799999999999E-2</c:v>
                </c:pt>
                <c:pt idx="9">
                  <c:v>1.8998999999999999E-2</c:v>
                </c:pt>
                <c:pt idx="10">
                  <c:v>2.29497E-2</c:v>
                </c:pt>
                <c:pt idx="11">
                  <c:v>2.7627100000000002E-2</c:v>
                </c:pt>
                <c:pt idx="12">
                  <c:v>3.3129100000000002E-2</c:v>
                </c:pt>
                <c:pt idx="13">
                  <c:v>3.9562300000000002E-2</c:v>
                </c:pt>
                <c:pt idx="14">
                  <c:v>4.6881800000000001E-2</c:v>
                </c:pt>
                <c:pt idx="15">
                  <c:v>5.4889100000000003E-2</c:v>
                </c:pt>
                <c:pt idx="16">
                  <c:v>6.3545299999999999E-2</c:v>
                </c:pt>
                <c:pt idx="17">
                  <c:v>7.2629299999999994E-2</c:v>
                </c:pt>
                <c:pt idx="18">
                  <c:v>8.2089999999999996E-2</c:v>
                </c:pt>
                <c:pt idx="19">
                  <c:v>9.1826599999999994E-2</c:v>
                </c:pt>
                <c:pt idx="20">
                  <c:v>0.101738</c:v>
                </c:pt>
                <c:pt idx="21">
                  <c:v>0.111862</c:v>
                </c:pt>
                <c:pt idx="22">
                  <c:v>0.122112</c:v>
                </c:pt>
                <c:pt idx="23">
                  <c:v>0.13256200000000001</c:v>
                </c:pt>
                <c:pt idx="24">
                  <c:v>0.14337800000000001</c:v>
                </c:pt>
                <c:pt idx="25">
                  <c:v>0.15459000000000001</c:v>
                </c:pt>
                <c:pt idx="26">
                  <c:v>0.16614399999999999</c:v>
                </c:pt>
                <c:pt idx="27">
                  <c:v>0.17793400000000001</c:v>
                </c:pt>
                <c:pt idx="28">
                  <c:v>0.18995799999999999</c:v>
                </c:pt>
                <c:pt idx="29">
                  <c:v>0.202268</c:v>
                </c:pt>
                <c:pt idx="30">
                  <c:v>0.21495900000000001</c:v>
                </c:pt>
                <c:pt idx="31">
                  <c:v>0.227992</c:v>
                </c:pt>
                <c:pt idx="32">
                  <c:v>0.24148500000000001</c:v>
                </c:pt>
                <c:pt idx="33">
                  <c:v>0.25525399999999998</c:v>
                </c:pt>
                <c:pt idx="34">
                  <c:v>0.26937499999999998</c:v>
                </c:pt>
                <c:pt idx="35">
                  <c:v>0.28376499999999999</c:v>
                </c:pt>
                <c:pt idx="36">
                  <c:v>0.29807099999999997</c:v>
                </c:pt>
                <c:pt idx="37">
                  <c:v>0.31236999999999998</c:v>
                </c:pt>
                <c:pt idx="38">
                  <c:v>0.326125</c:v>
                </c:pt>
                <c:pt idx="39">
                  <c:v>0.34029700000000002</c:v>
                </c:pt>
                <c:pt idx="40">
                  <c:v>0.35500199999999998</c:v>
                </c:pt>
                <c:pt idx="41">
                  <c:v>0.36887399999999998</c:v>
                </c:pt>
                <c:pt idx="42">
                  <c:v>0.382328</c:v>
                </c:pt>
                <c:pt idx="43">
                  <c:v>0.39364100000000002</c:v>
                </c:pt>
                <c:pt idx="44">
                  <c:v>0.40389700000000001</c:v>
                </c:pt>
                <c:pt idx="45">
                  <c:v>0.41188799999999998</c:v>
                </c:pt>
                <c:pt idx="46">
                  <c:v>0.41883999999999999</c:v>
                </c:pt>
                <c:pt idx="47">
                  <c:v>0.42499700000000001</c:v>
                </c:pt>
                <c:pt idx="48">
                  <c:v>0.43066599999999999</c:v>
                </c:pt>
                <c:pt idx="49">
                  <c:v>0.43608200000000003</c:v>
                </c:pt>
                <c:pt idx="50">
                  <c:v>0.44122800000000001</c:v>
                </c:pt>
                <c:pt idx="51">
                  <c:v>0.44605499999999998</c:v>
                </c:pt>
                <c:pt idx="52">
                  <c:v>0.45062200000000002</c:v>
                </c:pt>
                <c:pt idx="53">
                  <c:v>0.45490999999999998</c:v>
                </c:pt>
                <c:pt idx="54">
                  <c:v>0.45894099999999999</c:v>
                </c:pt>
                <c:pt idx="55">
                  <c:v>0.46284199999999998</c:v>
                </c:pt>
                <c:pt idx="56">
                  <c:v>0.46658100000000002</c:v>
                </c:pt>
                <c:pt idx="57">
                  <c:v>0.47014899999999998</c:v>
                </c:pt>
                <c:pt idx="58">
                  <c:v>0.473522</c:v>
                </c:pt>
                <c:pt idx="59">
                  <c:v>0.476657</c:v>
                </c:pt>
                <c:pt idx="60">
                  <c:v>0.479433</c:v>
                </c:pt>
                <c:pt idx="61">
                  <c:v>0.48164600000000002</c:v>
                </c:pt>
                <c:pt idx="62">
                  <c:v>0.483265</c:v>
                </c:pt>
                <c:pt idx="63">
                  <c:v>0.48453600000000002</c:v>
                </c:pt>
                <c:pt idx="64">
                  <c:v>0.48562699999999998</c:v>
                </c:pt>
                <c:pt idx="65">
                  <c:v>0.48653200000000002</c:v>
                </c:pt>
                <c:pt idx="66">
                  <c:v>0.48729899999999998</c:v>
                </c:pt>
                <c:pt idx="67">
                  <c:v>0.48789700000000003</c:v>
                </c:pt>
                <c:pt idx="68">
                  <c:v>0.48836600000000002</c:v>
                </c:pt>
                <c:pt idx="69">
                  <c:v>0.48869000000000001</c:v>
                </c:pt>
                <c:pt idx="70">
                  <c:v>0.48888999999999999</c:v>
                </c:pt>
                <c:pt idx="71">
                  <c:v>0.488923</c:v>
                </c:pt>
                <c:pt idx="72">
                  <c:v>0.48882500000000001</c:v>
                </c:pt>
                <c:pt idx="73">
                  <c:v>0.48863400000000001</c:v>
                </c:pt>
                <c:pt idx="74">
                  <c:v>0.48832300000000001</c:v>
                </c:pt>
                <c:pt idx="75">
                  <c:v>0.48789199999999999</c:v>
                </c:pt>
                <c:pt idx="76">
                  <c:v>0.48733300000000002</c:v>
                </c:pt>
                <c:pt idx="77">
                  <c:v>0.48664600000000002</c:v>
                </c:pt>
                <c:pt idx="78">
                  <c:v>0.48582799999999998</c:v>
                </c:pt>
                <c:pt idx="79">
                  <c:v>0.48487799999999998</c:v>
                </c:pt>
                <c:pt idx="80">
                  <c:v>0.48379499999999998</c:v>
                </c:pt>
                <c:pt idx="81">
                  <c:v>0.48258299999999998</c:v>
                </c:pt>
                <c:pt idx="82">
                  <c:v>0.48124099999999997</c:v>
                </c:pt>
                <c:pt idx="83">
                  <c:v>0.479771</c:v>
                </c:pt>
                <c:pt idx="84">
                  <c:v>0.47817300000000001</c:v>
                </c:pt>
                <c:pt idx="85">
                  <c:v>0.47645300000000002</c:v>
                </c:pt>
                <c:pt idx="86">
                  <c:v>0.47462199999999999</c:v>
                </c:pt>
                <c:pt idx="87">
                  <c:v>0.472686</c:v>
                </c:pt>
                <c:pt idx="88">
                  <c:v>0.47064699999999998</c:v>
                </c:pt>
                <c:pt idx="89">
                  <c:v>0.46850799999999998</c:v>
                </c:pt>
                <c:pt idx="90">
                  <c:v>0.46626200000000001</c:v>
                </c:pt>
                <c:pt idx="91">
                  <c:v>0.463916</c:v>
                </c:pt>
                <c:pt idx="92">
                  <c:v>0.46146399999999999</c:v>
                </c:pt>
                <c:pt idx="93">
                  <c:v>0.45890199999999998</c:v>
                </c:pt>
                <c:pt idx="94">
                  <c:v>0.456233</c:v>
                </c:pt>
                <c:pt idx="95">
                  <c:v>0.45345600000000003</c:v>
                </c:pt>
                <c:pt idx="96">
                  <c:v>0.45057599999999998</c:v>
                </c:pt>
                <c:pt idx="97">
                  <c:v>0.44758700000000001</c:v>
                </c:pt>
                <c:pt idx="98">
                  <c:v>0.444492</c:v>
                </c:pt>
                <c:pt idx="99">
                  <c:v>0.44129400000000002</c:v>
                </c:pt>
                <c:pt idx="100">
                  <c:v>0.437998</c:v>
                </c:pt>
                <c:pt idx="101">
                  <c:v>0.43460199999999999</c:v>
                </c:pt>
                <c:pt idx="102">
                  <c:v>0.43110700000000002</c:v>
                </c:pt>
                <c:pt idx="103">
                  <c:v>0.42751099999999997</c:v>
                </c:pt>
                <c:pt idx="104">
                  <c:v>0.42381400000000002</c:v>
                </c:pt>
                <c:pt idx="105">
                  <c:v>0.42002299999999998</c:v>
                </c:pt>
                <c:pt idx="106">
                  <c:v>0.416128</c:v>
                </c:pt>
                <c:pt idx="107">
                  <c:v>0.41212799999999999</c:v>
                </c:pt>
                <c:pt idx="108">
                  <c:v>0.40802500000000003</c:v>
                </c:pt>
                <c:pt idx="109">
                  <c:v>0.403831</c:v>
                </c:pt>
                <c:pt idx="110">
                  <c:v>0.39954699999999999</c:v>
                </c:pt>
                <c:pt idx="111">
                  <c:v>0.39517400000000003</c:v>
                </c:pt>
                <c:pt idx="112">
                  <c:v>0.39071</c:v>
                </c:pt>
                <c:pt idx="113">
                  <c:v>0.386158</c:v>
                </c:pt>
                <c:pt idx="114">
                  <c:v>0.38152000000000003</c:v>
                </c:pt>
                <c:pt idx="115">
                  <c:v>0.37679800000000002</c:v>
                </c:pt>
                <c:pt idx="116">
                  <c:v>0.372002</c:v>
                </c:pt>
                <c:pt idx="117">
                  <c:v>0.36713000000000001</c:v>
                </c:pt>
                <c:pt idx="118">
                  <c:v>0.362178</c:v>
                </c:pt>
                <c:pt idx="119">
                  <c:v>0.35714299999999999</c:v>
                </c:pt>
                <c:pt idx="120">
                  <c:v>0.35202099999999997</c:v>
                </c:pt>
                <c:pt idx="121">
                  <c:v>0.34681099999999998</c:v>
                </c:pt>
                <c:pt idx="122">
                  <c:v>0.34151799999999999</c:v>
                </c:pt>
                <c:pt idx="123">
                  <c:v>0.33614300000000003</c:v>
                </c:pt>
                <c:pt idx="124">
                  <c:v>0.33068500000000001</c:v>
                </c:pt>
                <c:pt idx="125">
                  <c:v>0.32514500000000002</c:v>
                </c:pt>
                <c:pt idx="126">
                  <c:v>0.31952399999999997</c:v>
                </c:pt>
                <c:pt idx="127">
                  <c:v>0.31382399999999999</c:v>
                </c:pt>
                <c:pt idx="128">
                  <c:v>0.30804599999999999</c:v>
                </c:pt>
                <c:pt idx="129">
                  <c:v>0.30219099999999999</c:v>
                </c:pt>
                <c:pt idx="130">
                  <c:v>0.29626000000000002</c:v>
                </c:pt>
                <c:pt idx="131">
                  <c:v>0.29025299999999998</c:v>
                </c:pt>
                <c:pt idx="132">
                  <c:v>0.28416999999999998</c:v>
                </c:pt>
                <c:pt idx="133">
                  <c:v>0.27801100000000001</c:v>
                </c:pt>
                <c:pt idx="134">
                  <c:v>0.27177499999999999</c:v>
                </c:pt>
                <c:pt idx="135">
                  <c:v>0.26546399999999998</c:v>
                </c:pt>
                <c:pt idx="136">
                  <c:v>0.25907799999999997</c:v>
                </c:pt>
                <c:pt idx="137">
                  <c:v>0.25261499999999998</c:v>
                </c:pt>
                <c:pt idx="138">
                  <c:v>0.246056</c:v>
                </c:pt>
                <c:pt idx="139">
                  <c:v>0.23941499999999999</c:v>
                </c:pt>
                <c:pt idx="140">
                  <c:v>0.23269500000000001</c:v>
                </c:pt>
                <c:pt idx="141">
                  <c:v>0.225886</c:v>
                </c:pt>
                <c:pt idx="142">
                  <c:v>0.21898899999999999</c:v>
                </c:pt>
                <c:pt idx="143">
                  <c:v>0.21198500000000001</c:v>
                </c:pt>
                <c:pt idx="144">
                  <c:v>0.20489499999999999</c:v>
                </c:pt>
                <c:pt idx="145">
                  <c:v>0.197711</c:v>
                </c:pt>
                <c:pt idx="146">
                  <c:v>0.19043599999999999</c:v>
                </c:pt>
                <c:pt idx="147">
                  <c:v>0.18307799999999999</c:v>
                </c:pt>
                <c:pt idx="148">
                  <c:v>0.17563500000000001</c:v>
                </c:pt>
                <c:pt idx="149">
                  <c:v>0.16810800000000001</c:v>
                </c:pt>
                <c:pt idx="150">
                  <c:v>0.160495</c:v>
                </c:pt>
                <c:pt idx="151">
                  <c:v>0.15279499999999999</c:v>
                </c:pt>
                <c:pt idx="152">
                  <c:v>0.145006</c:v>
                </c:pt>
                <c:pt idx="153">
                  <c:v>0.13711599999999999</c:v>
                </c:pt>
                <c:pt idx="154">
                  <c:v>0.12912100000000001</c:v>
                </c:pt>
                <c:pt idx="155">
                  <c:v>0.121034</c:v>
                </c:pt>
                <c:pt idx="156">
                  <c:v>0.112856</c:v>
                </c:pt>
                <c:pt idx="157">
                  <c:v>0.104575</c:v>
                </c:pt>
                <c:pt idx="158">
                  <c:v>9.6200900000000006E-2</c:v>
                </c:pt>
                <c:pt idx="159">
                  <c:v>8.7725499999999998E-2</c:v>
                </c:pt>
                <c:pt idx="160">
                  <c:v>7.9153200000000007E-2</c:v>
                </c:pt>
                <c:pt idx="161">
                  <c:v>7.9153200000000007E-2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A-44D2-B391-C2D1BEFB32AF}"/>
            </c:ext>
          </c:extLst>
        </c:ser>
        <c:ser>
          <c:idx val="1"/>
          <c:order val="1"/>
          <c:tx>
            <c:strRef>
              <c:f>'cp-lambda data from Ashes'!$C$1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'cp-lambda data from Ashes'!$A$2:$A$163</c:f>
              <c:numCache>
                <c:formatCode>General</c:formatCode>
                <c:ptCount val="16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</c:v>
                </c:pt>
              </c:numCache>
            </c:numRef>
          </c:xVal>
          <c:yVal>
            <c:numRef>
              <c:f>'cp-lambda data from Ashes'!$C$2:$C$163</c:f>
              <c:numCache>
                <c:formatCode>General</c:formatCode>
                <c:ptCount val="162"/>
                <c:pt idx="0">
                  <c:v>7.8909400000000005E-2</c:v>
                </c:pt>
                <c:pt idx="1">
                  <c:v>8.1710500000000005E-2</c:v>
                </c:pt>
                <c:pt idx="2">
                  <c:v>8.4661799999999995E-2</c:v>
                </c:pt>
                <c:pt idx="3">
                  <c:v>8.7736400000000006E-2</c:v>
                </c:pt>
                <c:pt idx="4">
                  <c:v>9.09972E-2</c:v>
                </c:pt>
                <c:pt idx="5">
                  <c:v>9.4575300000000001E-2</c:v>
                </c:pt>
                <c:pt idx="6">
                  <c:v>9.8634700000000006E-2</c:v>
                </c:pt>
                <c:pt idx="7">
                  <c:v>0.103329</c:v>
                </c:pt>
                <c:pt idx="8">
                  <c:v>0.108776</c:v>
                </c:pt>
                <c:pt idx="9">
                  <c:v>0.115032</c:v>
                </c:pt>
                <c:pt idx="10">
                  <c:v>0.12206400000000001</c:v>
                </c:pt>
                <c:pt idx="11">
                  <c:v>0.12995100000000001</c:v>
                </c:pt>
                <c:pt idx="12">
                  <c:v>0.13872399999999999</c:v>
                </c:pt>
                <c:pt idx="13">
                  <c:v>0.14844199999999999</c:v>
                </c:pt>
                <c:pt idx="14">
                  <c:v>0.15898899999999999</c:v>
                </c:pt>
                <c:pt idx="15">
                  <c:v>0.17013500000000001</c:v>
                </c:pt>
                <c:pt idx="16">
                  <c:v>0.18178</c:v>
                </c:pt>
                <c:pt idx="17">
                  <c:v>0.19367699999999999</c:v>
                </c:pt>
                <c:pt idx="18">
                  <c:v>0.205761</c:v>
                </c:pt>
                <c:pt idx="19">
                  <c:v>0.21795</c:v>
                </c:pt>
                <c:pt idx="20">
                  <c:v>0.23016500000000001</c:v>
                </c:pt>
                <c:pt idx="21">
                  <c:v>0.242455</c:v>
                </c:pt>
                <c:pt idx="22">
                  <c:v>0.25475599999999998</c:v>
                </c:pt>
                <c:pt idx="23">
                  <c:v>0.267154</c:v>
                </c:pt>
                <c:pt idx="24">
                  <c:v>0.27984799999999999</c:v>
                </c:pt>
                <c:pt idx="25">
                  <c:v>0.292798</c:v>
                </c:pt>
                <c:pt idx="26">
                  <c:v>0.30595</c:v>
                </c:pt>
                <c:pt idx="27">
                  <c:v>0.31916099999999997</c:v>
                </c:pt>
                <c:pt idx="28">
                  <c:v>0.33239299999999999</c:v>
                </c:pt>
                <c:pt idx="29">
                  <c:v>0.34569800000000001</c:v>
                </c:pt>
                <c:pt idx="30">
                  <c:v>0.35915399999999997</c:v>
                </c:pt>
                <c:pt idx="31">
                  <c:v>0.37262699999999999</c:v>
                </c:pt>
                <c:pt idx="32">
                  <c:v>0.38625199999999998</c:v>
                </c:pt>
                <c:pt idx="33">
                  <c:v>0.39989799999999998</c:v>
                </c:pt>
                <c:pt idx="34">
                  <c:v>0.41370200000000001</c:v>
                </c:pt>
                <c:pt idx="35">
                  <c:v>0.42773099999999997</c:v>
                </c:pt>
                <c:pt idx="36">
                  <c:v>0.44188100000000002</c:v>
                </c:pt>
                <c:pt idx="37">
                  <c:v>0.45669500000000002</c:v>
                </c:pt>
                <c:pt idx="38">
                  <c:v>0.47223599999999999</c:v>
                </c:pt>
                <c:pt idx="39">
                  <c:v>0.48966799999999999</c:v>
                </c:pt>
                <c:pt idx="40">
                  <c:v>0.50892199999999999</c:v>
                </c:pt>
                <c:pt idx="41">
                  <c:v>0.52801100000000001</c:v>
                </c:pt>
                <c:pt idx="42">
                  <c:v>0.54691100000000004</c:v>
                </c:pt>
                <c:pt idx="43">
                  <c:v>0.56354499999999996</c:v>
                </c:pt>
                <c:pt idx="44">
                  <c:v>0.57921100000000003</c:v>
                </c:pt>
                <c:pt idx="45">
                  <c:v>0.59267899999999996</c:v>
                </c:pt>
                <c:pt idx="46">
                  <c:v>0.60515699999999994</c:v>
                </c:pt>
                <c:pt idx="47">
                  <c:v>0.61699199999999998</c:v>
                </c:pt>
                <c:pt idx="48">
                  <c:v>0.62840300000000004</c:v>
                </c:pt>
                <c:pt idx="49">
                  <c:v>0.63953000000000004</c:v>
                </c:pt>
                <c:pt idx="50">
                  <c:v>0.65034800000000004</c:v>
                </c:pt>
                <c:pt idx="51">
                  <c:v>0.66081800000000002</c:v>
                </c:pt>
                <c:pt idx="52">
                  <c:v>0.67099200000000003</c:v>
                </c:pt>
                <c:pt idx="53">
                  <c:v>0.680894</c:v>
                </c:pt>
                <c:pt idx="54">
                  <c:v>0.690415</c:v>
                </c:pt>
                <c:pt idx="55">
                  <c:v>0.69961300000000004</c:v>
                </c:pt>
                <c:pt idx="56">
                  <c:v>0.70839799999999997</c:v>
                </c:pt>
                <c:pt idx="57">
                  <c:v>0.71700200000000003</c:v>
                </c:pt>
                <c:pt idx="58">
                  <c:v>0.72545499999999996</c:v>
                </c:pt>
                <c:pt idx="59">
                  <c:v>0.733765</c:v>
                </c:pt>
                <c:pt idx="60">
                  <c:v>0.74184799999999995</c:v>
                </c:pt>
                <c:pt idx="61">
                  <c:v>0.74950399999999995</c:v>
                </c:pt>
                <c:pt idx="62">
                  <c:v>0.75678800000000002</c:v>
                </c:pt>
                <c:pt idx="63">
                  <c:v>0.76379200000000003</c:v>
                </c:pt>
                <c:pt idx="64">
                  <c:v>0.77066599999999996</c:v>
                </c:pt>
                <c:pt idx="65">
                  <c:v>0.77739000000000003</c:v>
                </c:pt>
                <c:pt idx="66">
                  <c:v>0.78395999999999999</c:v>
                </c:pt>
                <c:pt idx="67">
                  <c:v>0.79032899999999995</c:v>
                </c:pt>
                <c:pt idx="68">
                  <c:v>0.79654700000000001</c:v>
                </c:pt>
                <c:pt idx="69">
                  <c:v>0.80268300000000004</c:v>
                </c:pt>
                <c:pt idx="70">
                  <c:v>0.80876300000000001</c:v>
                </c:pt>
                <c:pt idx="71">
                  <c:v>0.81473600000000002</c:v>
                </c:pt>
                <c:pt idx="72">
                  <c:v>0.82064000000000004</c:v>
                </c:pt>
                <c:pt idx="73">
                  <c:v>0.82650299999999999</c:v>
                </c:pt>
                <c:pt idx="74">
                  <c:v>0.83230400000000004</c:v>
                </c:pt>
                <c:pt idx="75">
                  <c:v>0.83803700000000003</c:v>
                </c:pt>
                <c:pt idx="76">
                  <c:v>0.84370199999999995</c:v>
                </c:pt>
                <c:pt idx="77">
                  <c:v>0.84928999999999999</c:v>
                </c:pt>
                <c:pt idx="78">
                  <c:v>0.85479700000000003</c:v>
                </c:pt>
                <c:pt idx="79">
                  <c:v>0.86022200000000004</c:v>
                </c:pt>
                <c:pt idx="80">
                  <c:v>0.86556999999999995</c:v>
                </c:pt>
                <c:pt idx="81">
                  <c:v>0.87085400000000002</c:v>
                </c:pt>
                <c:pt idx="82">
                  <c:v>0.87606899999999999</c:v>
                </c:pt>
                <c:pt idx="83">
                  <c:v>0.88122500000000004</c:v>
                </c:pt>
                <c:pt idx="84">
                  <c:v>0.88632599999999995</c:v>
                </c:pt>
                <c:pt idx="85">
                  <c:v>0.89137900000000003</c:v>
                </c:pt>
                <c:pt idx="86">
                  <c:v>0.89637800000000001</c:v>
                </c:pt>
                <c:pt idx="87">
                  <c:v>0.90132800000000002</c:v>
                </c:pt>
                <c:pt idx="88">
                  <c:v>0.90622400000000003</c:v>
                </c:pt>
                <c:pt idx="89">
                  <c:v>0.91106100000000001</c:v>
                </c:pt>
                <c:pt idx="90">
                  <c:v>0.91583099999999995</c:v>
                </c:pt>
                <c:pt idx="91">
                  <c:v>0.920539</c:v>
                </c:pt>
                <c:pt idx="92">
                  <c:v>0.92518500000000004</c:v>
                </c:pt>
                <c:pt idx="93">
                  <c:v>0.92976800000000004</c:v>
                </c:pt>
                <c:pt idx="94">
                  <c:v>0.93429300000000004</c:v>
                </c:pt>
                <c:pt idx="95">
                  <c:v>0.93876700000000002</c:v>
                </c:pt>
                <c:pt idx="96">
                  <c:v>0.94319500000000001</c:v>
                </c:pt>
                <c:pt idx="97">
                  <c:v>0.94757800000000003</c:v>
                </c:pt>
                <c:pt idx="98">
                  <c:v>0.95191599999999998</c:v>
                </c:pt>
                <c:pt idx="99">
                  <c:v>0.95621599999999995</c:v>
                </c:pt>
                <c:pt idx="100">
                  <c:v>0.96046699999999996</c:v>
                </c:pt>
                <c:pt idx="101">
                  <c:v>0.96467199999999997</c:v>
                </c:pt>
                <c:pt idx="102">
                  <c:v>0.96882999999999997</c:v>
                </c:pt>
                <c:pt idx="103">
                  <c:v>0.97293700000000005</c:v>
                </c:pt>
                <c:pt idx="104">
                  <c:v>0.97699100000000005</c:v>
                </c:pt>
                <c:pt idx="105">
                  <c:v>0.98099400000000003</c:v>
                </c:pt>
                <c:pt idx="106">
                  <c:v>0.98494400000000004</c:v>
                </c:pt>
                <c:pt idx="107">
                  <c:v>0.98884700000000003</c:v>
                </c:pt>
                <c:pt idx="108">
                  <c:v>0.99270700000000001</c:v>
                </c:pt>
                <c:pt idx="109">
                  <c:v>0.99653199999999997</c:v>
                </c:pt>
                <c:pt idx="110">
                  <c:v>1.0003200000000001</c:v>
                </c:pt>
                <c:pt idx="111">
                  <c:v>1.0040800000000001</c:v>
                </c:pt>
                <c:pt idx="112">
                  <c:v>1.0078100000000001</c:v>
                </c:pt>
                <c:pt idx="113">
                  <c:v>1.0115000000000001</c:v>
                </c:pt>
                <c:pt idx="114">
                  <c:v>1.0151699999999999</c:v>
                </c:pt>
                <c:pt idx="115">
                  <c:v>1.01881</c:v>
                </c:pt>
                <c:pt idx="116">
                  <c:v>1.0224200000000001</c:v>
                </c:pt>
                <c:pt idx="117">
                  <c:v>1.026</c:v>
                </c:pt>
                <c:pt idx="118">
                  <c:v>1.02955</c:v>
                </c:pt>
                <c:pt idx="119">
                  <c:v>1.0330699999999999</c:v>
                </c:pt>
                <c:pt idx="120">
                  <c:v>1.03657</c:v>
                </c:pt>
                <c:pt idx="121">
                  <c:v>1.0400400000000001</c:v>
                </c:pt>
                <c:pt idx="122">
                  <c:v>1.04348</c:v>
                </c:pt>
                <c:pt idx="123">
                  <c:v>1.0468999999999999</c:v>
                </c:pt>
                <c:pt idx="124">
                  <c:v>1.0503</c:v>
                </c:pt>
                <c:pt idx="125">
                  <c:v>1.0536700000000001</c:v>
                </c:pt>
                <c:pt idx="126">
                  <c:v>1.0570200000000001</c:v>
                </c:pt>
                <c:pt idx="127">
                  <c:v>1.06036</c:v>
                </c:pt>
                <c:pt idx="128">
                  <c:v>1.06369</c:v>
                </c:pt>
                <c:pt idx="129">
                  <c:v>1.0669900000000001</c:v>
                </c:pt>
                <c:pt idx="130">
                  <c:v>1.0702799999999999</c:v>
                </c:pt>
                <c:pt idx="131">
                  <c:v>1.07355</c:v>
                </c:pt>
                <c:pt idx="132">
                  <c:v>1.07681</c:v>
                </c:pt>
                <c:pt idx="133">
                  <c:v>1.08006</c:v>
                </c:pt>
                <c:pt idx="134">
                  <c:v>1.0832999999999999</c:v>
                </c:pt>
                <c:pt idx="135">
                  <c:v>1.08653</c:v>
                </c:pt>
                <c:pt idx="136">
                  <c:v>1.08975</c:v>
                </c:pt>
                <c:pt idx="137">
                  <c:v>1.0929599999999999</c:v>
                </c:pt>
                <c:pt idx="138">
                  <c:v>1.09616</c:v>
                </c:pt>
                <c:pt idx="139">
                  <c:v>1.09934</c:v>
                </c:pt>
                <c:pt idx="140">
                  <c:v>1.1025199999999999</c:v>
                </c:pt>
                <c:pt idx="141">
                  <c:v>1.10568</c:v>
                </c:pt>
                <c:pt idx="142">
                  <c:v>1.10884</c:v>
                </c:pt>
                <c:pt idx="143">
                  <c:v>1.11198</c:v>
                </c:pt>
                <c:pt idx="144">
                  <c:v>1.1151199999999999</c:v>
                </c:pt>
                <c:pt idx="145">
                  <c:v>1.11825</c:v>
                </c:pt>
                <c:pt idx="146">
                  <c:v>1.12137</c:v>
                </c:pt>
                <c:pt idx="147">
                  <c:v>1.12449</c:v>
                </c:pt>
                <c:pt idx="148">
                  <c:v>1.12761</c:v>
                </c:pt>
                <c:pt idx="149">
                  <c:v>1.1307199999999999</c:v>
                </c:pt>
                <c:pt idx="150">
                  <c:v>1.1338200000000001</c:v>
                </c:pt>
                <c:pt idx="151">
                  <c:v>1.1369199999999999</c:v>
                </c:pt>
                <c:pt idx="152">
                  <c:v>1.14001</c:v>
                </c:pt>
                <c:pt idx="153">
                  <c:v>1.1431</c:v>
                </c:pt>
                <c:pt idx="154">
                  <c:v>1.14619</c:v>
                </c:pt>
                <c:pt idx="155">
                  <c:v>1.1492599999999999</c:v>
                </c:pt>
                <c:pt idx="156">
                  <c:v>1.1523399999999999</c:v>
                </c:pt>
                <c:pt idx="157">
                  <c:v>1.15541</c:v>
                </c:pt>
                <c:pt idx="158">
                  <c:v>1.15848</c:v>
                </c:pt>
                <c:pt idx="159">
                  <c:v>1.16154</c:v>
                </c:pt>
                <c:pt idx="160">
                  <c:v>1.1646099999999999</c:v>
                </c:pt>
                <c:pt idx="161">
                  <c:v>1.1646099999999999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4D2-B391-C2D1BEFB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28336"/>
        <c:axId val="1552508816"/>
      </c:scatterChart>
      <c:valAx>
        <c:axId val="20169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tip speed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08816"/>
        <c:crosses val="autoZero"/>
        <c:crossBetween val="midCat"/>
      </c:valAx>
      <c:valAx>
        <c:axId val="15525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r>
                  <a:rPr lang="en-US" altLang="zh-CN" baseline="0"/>
                  <a:t> of thrust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9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baseline="0">
                <a:effectLst/>
              </a:rPr>
              <a:t>Torque vs ratational speed curve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Curves!$C$62:$C$88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7.5402899999999997</c:v>
                </c:pt>
                <c:pt idx="4">
                  <c:v>7.7582899999999997</c:v>
                </c:pt>
                <c:pt idx="5">
                  <c:v>8.0886200000000006</c:v>
                </c:pt>
                <c:pt idx="6">
                  <c:v>8.5200600000000009</c:v>
                </c:pt>
                <c:pt idx="7">
                  <c:v>9.0339799999999997</c:v>
                </c:pt>
                <c:pt idx="8">
                  <c:v>9.6499199999999998</c:v>
                </c:pt>
                <c:pt idx="9">
                  <c:v>10.7911</c:v>
                </c:pt>
                <c:pt idx="10">
                  <c:v>11.9864</c:v>
                </c:pt>
                <c:pt idx="11">
                  <c:v>12.787800000000001</c:v>
                </c:pt>
                <c:pt idx="12">
                  <c:v>12.962199999999999</c:v>
                </c:pt>
                <c:pt idx="13">
                  <c:v>13.099299999999999</c:v>
                </c:pt>
                <c:pt idx="14">
                  <c:v>13.1068</c:v>
                </c:pt>
                <c:pt idx="15">
                  <c:v>13.114100000000001</c:v>
                </c:pt>
                <c:pt idx="16">
                  <c:v>13.1089</c:v>
                </c:pt>
                <c:pt idx="17">
                  <c:v>13.0967</c:v>
                </c:pt>
                <c:pt idx="18">
                  <c:v>13.0838</c:v>
                </c:pt>
                <c:pt idx="19">
                  <c:v>13.1122</c:v>
                </c:pt>
                <c:pt idx="20">
                  <c:v>13.1081</c:v>
                </c:pt>
                <c:pt idx="21">
                  <c:v>13.079800000000001</c:v>
                </c:pt>
                <c:pt idx="22">
                  <c:v>13.075900000000001</c:v>
                </c:pt>
                <c:pt idx="23">
                  <c:v>13.081099999999999</c:v>
                </c:pt>
                <c:pt idx="24">
                  <c:v>13.074400000000001</c:v>
                </c:pt>
                <c:pt idx="25">
                  <c:v>13.0702</c:v>
                </c:pt>
                <c:pt idx="26">
                  <c:v>13.0848</c:v>
                </c:pt>
              </c:numCache>
            </c:numRef>
          </c:xVal>
          <c:yVal>
            <c:numRef>
              <c:f>Curves!$F$62:$F$88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52.427799999999998</c:v>
                </c:pt>
                <c:pt idx="4">
                  <c:v>209.36600000000001</c:v>
                </c:pt>
                <c:pt idx="5">
                  <c:v>405.65899999999999</c:v>
                </c:pt>
                <c:pt idx="6">
                  <c:v>719.43600000000004</c:v>
                </c:pt>
                <c:pt idx="7">
                  <c:v>1093.55</c:v>
                </c:pt>
                <c:pt idx="8">
                  <c:v>1540.61</c:v>
                </c:pt>
                <c:pt idx="9">
                  <c:v>1955.03</c:v>
                </c:pt>
                <c:pt idx="10">
                  <c:v>2413.67</c:v>
                </c:pt>
                <c:pt idx="11">
                  <c:v>3016.29</c:v>
                </c:pt>
                <c:pt idx="12">
                  <c:v>3559.71</c:v>
                </c:pt>
                <c:pt idx="13">
                  <c:v>3529.66</c:v>
                </c:pt>
                <c:pt idx="14">
                  <c:v>3576.98</c:v>
                </c:pt>
                <c:pt idx="15">
                  <c:v>3534.77</c:v>
                </c:pt>
                <c:pt idx="16">
                  <c:v>3565.43</c:v>
                </c:pt>
                <c:pt idx="17">
                  <c:v>3533.63</c:v>
                </c:pt>
                <c:pt idx="18" formatCode="0.00">
                  <c:v>3550.7</c:v>
                </c:pt>
                <c:pt idx="19">
                  <c:v>3627.64</c:v>
                </c:pt>
                <c:pt idx="20" formatCode="0.00">
                  <c:v>3619.3</c:v>
                </c:pt>
                <c:pt idx="21" formatCode="0.00">
                  <c:v>3554</c:v>
                </c:pt>
                <c:pt idx="22">
                  <c:v>3577.14</c:v>
                </c:pt>
                <c:pt idx="23">
                  <c:v>3634.58</c:v>
                </c:pt>
                <c:pt idx="24">
                  <c:v>3602.51</c:v>
                </c:pt>
                <c:pt idx="25">
                  <c:v>3592.68</c:v>
                </c:pt>
                <c:pt idx="26">
                  <c:v>3645.99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3-4301-85A0-F9CDA7E8FBF1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Curves!$I$24:$I$50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3.3270969328699804</c:v>
                </c:pt>
                <c:pt idx="4">
                  <c:v>4.4361292438266409</c:v>
                </c:pt>
                <c:pt idx="5">
                  <c:v>5.5451615547832995</c:v>
                </c:pt>
                <c:pt idx="6">
                  <c:v>6.6541938657399609</c:v>
                </c:pt>
                <c:pt idx="7">
                  <c:v>7.7632261766966213</c:v>
                </c:pt>
                <c:pt idx="8">
                  <c:v>8.8722584876532817</c:v>
                </c:pt>
                <c:pt idx="9">
                  <c:v>9.9812907986099422</c:v>
                </c:pt>
                <c:pt idx="10">
                  <c:v>11.090323109566599</c:v>
                </c:pt>
                <c:pt idx="11">
                  <c:v>12.199355420523259</c:v>
                </c:pt>
                <c:pt idx="12">
                  <c:v>13.06786080387964</c:v>
                </c:pt>
                <c:pt idx="13">
                  <c:v>13.06786080387964</c:v>
                </c:pt>
                <c:pt idx="14">
                  <c:v>13.06786080387964</c:v>
                </c:pt>
                <c:pt idx="15">
                  <c:v>13.06786080387964</c:v>
                </c:pt>
                <c:pt idx="16">
                  <c:v>13.06786080387964</c:v>
                </c:pt>
                <c:pt idx="17">
                  <c:v>13.06786080387964</c:v>
                </c:pt>
                <c:pt idx="18">
                  <c:v>13.06786080387964</c:v>
                </c:pt>
                <c:pt idx="19">
                  <c:v>13.06786080387964</c:v>
                </c:pt>
                <c:pt idx="20">
                  <c:v>13.06786080387964</c:v>
                </c:pt>
                <c:pt idx="21">
                  <c:v>13.06786080387964</c:v>
                </c:pt>
                <c:pt idx="22">
                  <c:v>13.06786080387964</c:v>
                </c:pt>
                <c:pt idx="23">
                  <c:v>13.06786080387964</c:v>
                </c:pt>
                <c:pt idx="24">
                  <c:v>13.06786080387964</c:v>
                </c:pt>
                <c:pt idx="25">
                  <c:v>13.06786080387964</c:v>
                </c:pt>
                <c:pt idx="26">
                  <c:v>13.06786080387964</c:v>
                </c:pt>
              </c:numCache>
            </c:numRef>
          </c:xVal>
          <c:yVal>
            <c:numRef>
              <c:f>Curves!$J$24:$J$50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236.85856602417559</c:v>
                </c:pt>
                <c:pt idx="4">
                  <c:v>421.08189515408992</c:v>
                </c:pt>
                <c:pt idx="5">
                  <c:v>657.94046117826565</c:v>
                </c:pt>
                <c:pt idx="6">
                  <c:v>947.43426409670235</c:v>
                </c:pt>
                <c:pt idx="7">
                  <c:v>1289.5633039094002</c:v>
                </c:pt>
                <c:pt idx="8">
                  <c:v>1684.3275806163597</c:v>
                </c:pt>
                <c:pt idx="9">
                  <c:v>2131.7270942175801</c:v>
                </c:pt>
                <c:pt idx="10">
                  <c:v>2631.7618447130626</c:v>
                </c:pt>
                <c:pt idx="11">
                  <c:v>3184.4318321028054</c:v>
                </c:pt>
                <c:pt idx="12">
                  <c:v>3288.3602970467891</c:v>
                </c:pt>
                <c:pt idx="13">
                  <c:v>3288.3602970467891</c:v>
                </c:pt>
                <c:pt idx="14">
                  <c:v>3288.3602970467891</c:v>
                </c:pt>
                <c:pt idx="15">
                  <c:v>3288.3602970467891</c:v>
                </c:pt>
                <c:pt idx="16">
                  <c:v>3288.3602970467891</c:v>
                </c:pt>
                <c:pt idx="17">
                  <c:v>3288.3602970467891</c:v>
                </c:pt>
                <c:pt idx="18">
                  <c:v>3288.3602970467891</c:v>
                </c:pt>
                <c:pt idx="19">
                  <c:v>3288.3602970467891</c:v>
                </c:pt>
                <c:pt idx="20">
                  <c:v>3288.3602970467891</c:v>
                </c:pt>
                <c:pt idx="21">
                  <c:v>3288.3602970467891</c:v>
                </c:pt>
                <c:pt idx="22">
                  <c:v>3288.3602970467891</c:v>
                </c:pt>
                <c:pt idx="23">
                  <c:v>3288.3602970467891</c:v>
                </c:pt>
                <c:pt idx="24">
                  <c:v>3288.3602970467891</c:v>
                </c:pt>
                <c:pt idx="25">
                  <c:v>3288.3602970467891</c:v>
                </c:pt>
                <c:pt idx="26">
                  <c:v>3288.3602970467891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3-4301-85A0-F9CDA7E8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47871"/>
        <c:axId val="1489448831"/>
      </c:scatterChart>
      <c:valAx>
        <c:axId val="14894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baseline="0">
                    <a:effectLst/>
                  </a:rPr>
                  <a:t>ratational speed rpm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448831"/>
        <c:crosses val="autoZero"/>
        <c:crossBetween val="midCat"/>
      </c:valAx>
      <c:valAx>
        <c:axId val="14894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baseline="0">
                    <a:effectLst/>
                  </a:rPr>
                  <a:t>Torque kNm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4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coefficient vs tip</a:t>
            </a:r>
            <a:r>
              <a:rPr lang="en-US" altLang="zh-CN" baseline="0"/>
              <a:t> speed ratio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Curves!$G$24:$G$50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">
                  <c:v>6.6196389411293444</c:v>
                </c:pt>
                <c:pt idx="4" formatCode="0.00000">
                  <c:v>6.6196389411293444</c:v>
                </c:pt>
                <c:pt idx="5" formatCode="0.00000">
                  <c:v>6.6196389411293444</c:v>
                </c:pt>
                <c:pt idx="6" formatCode="0.00000">
                  <c:v>6.6196389411293444</c:v>
                </c:pt>
                <c:pt idx="7" formatCode="0.00000">
                  <c:v>6.6196389411293444</c:v>
                </c:pt>
                <c:pt idx="8" formatCode="0.00000">
                  <c:v>6.6196389411293444</c:v>
                </c:pt>
                <c:pt idx="9" formatCode="0.00000">
                  <c:v>6.6196389411293444</c:v>
                </c:pt>
                <c:pt idx="10" formatCode="0.00000">
                  <c:v>6.6196389411293444</c:v>
                </c:pt>
                <c:pt idx="11" formatCode="0.00000">
                  <c:v>6.6196389411293444</c:v>
                </c:pt>
                <c:pt idx="12" formatCode="0.00000">
                  <c:v>6.6196389411293444</c:v>
                </c:pt>
                <c:pt idx="13" formatCode="0.00000">
                  <c:v>6.5</c:v>
                </c:pt>
                <c:pt idx="14" formatCode="0.00000">
                  <c:v>6</c:v>
                </c:pt>
                <c:pt idx="15" formatCode="0.00000">
                  <c:v>5.5714285714285712</c:v>
                </c:pt>
                <c:pt idx="16" formatCode="0.00000">
                  <c:v>5.2</c:v>
                </c:pt>
                <c:pt idx="17" formatCode="0.00000">
                  <c:v>4.875</c:v>
                </c:pt>
                <c:pt idx="18" formatCode="0.00000">
                  <c:v>4.5882352941176467</c:v>
                </c:pt>
                <c:pt idx="19" formatCode="0.00000">
                  <c:v>4.333333333333333</c:v>
                </c:pt>
                <c:pt idx="20" formatCode="0.00000">
                  <c:v>4.1052631578947372</c:v>
                </c:pt>
                <c:pt idx="21" formatCode="0.00000">
                  <c:v>3.9</c:v>
                </c:pt>
                <c:pt idx="22" formatCode="0.00000">
                  <c:v>3.7142857142857144</c:v>
                </c:pt>
                <c:pt idx="23" formatCode="0.00000">
                  <c:v>3.5454545454545454</c:v>
                </c:pt>
                <c:pt idx="24" formatCode="0.00000">
                  <c:v>3.3913043478260869</c:v>
                </c:pt>
                <c:pt idx="25" formatCode="0.00000">
                  <c:v>3.25</c:v>
                </c:pt>
                <c:pt idx="26" formatCode="0.00000">
                  <c:v>3.12</c:v>
                </c:pt>
              </c:numCache>
            </c:numRef>
          </c:xVal>
          <c:yVal>
            <c:numRef>
              <c:f>Curves!$F$24:$F$50</c:f>
              <c:numCache>
                <c:formatCode>General</c:formatCode>
                <c:ptCount val="27"/>
                <c:pt idx="3">
                  <c:v>0.48892300000000005</c:v>
                </c:pt>
                <c:pt idx="4">
                  <c:v>0.48892300000000005</c:v>
                </c:pt>
                <c:pt idx="5">
                  <c:v>0.48892300000000005</c:v>
                </c:pt>
                <c:pt idx="6">
                  <c:v>0.48892300000000005</c:v>
                </c:pt>
                <c:pt idx="7">
                  <c:v>0.488923</c:v>
                </c:pt>
                <c:pt idx="8">
                  <c:v>0.48892300000000005</c:v>
                </c:pt>
                <c:pt idx="9">
                  <c:v>0.488923</c:v>
                </c:pt>
                <c:pt idx="10">
                  <c:v>0.48892300000000005</c:v>
                </c:pt>
                <c:pt idx="11">
                  <c:v>0.48892300000000005</c:v>
                </c:pt>
                <c:pt idx="12">
                  <c:v>0.44</c:v>
                </c:pt>
                <c:pt idx="13">
                  <c:v>0.41657177432751724</c:v>
                </c:pt>
                <c:pt idx="14">
                  <c:v>0.32764498226579414</c:v>
                </c:pt>
                <c:pt idx="15">
                  <c:v>0.26233091327913621</c:v>
                </c:pt>
                <c:pt idx="16">
                  <c:v>0.21328474845568879</c:v>
                </c:pt>
                <c:pt idx="17">
                  <c:v>0.17574121729442133</c:v>
                </c:pt>
                <c:pt idx="18">
                  <c:v>0.14651659394218394</c:v>
                </c:pt>
                <c:pt idx="19">
                  <c:v>0.12342867387481991</c:v>
                </c:pt>
                <c:pt idx="20">
                  <c:v>0.1049476638049205</c:v>
                </c:pt>
                <c:pt idx="21">
                  <c:v>8.9979503254743715E-2</c:v>
                </c:pt>
                <c:pt idx="22">
                  <c:v>7.772767800863295E-2</c:v>
                </c:pt>
                <c:pt idx="23">
                  <c:v>6.7602932573060645E-2</c:v>
                </c:pt>
                <c:pt idx="24">
                  <c:v>5.9162983976160911E-2</c:v>
                </c:pt>
                <c:pt idx="25">
                  <c:v>5.2071471790939655E-2</c:v>
                </c:pt>
                <c:pt idx="26">
                  <c:v>4.6069505666428784E-2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3-4E2B-A3DC-9F586B37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57327"/>
        <c:axId val="1221960687"/>
      </c:scatterChart>
      <c:valAx>
        <c:axId val="12219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tip speed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60687"/>
        <c:crosses val="autoZero"/>
        <c:crossBetween val="midCat"/>
      </c:valAx>
      <c:valAx>
        <c:axId val="12219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coefficient 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kW</a:t>
            </a:r>
            <a:r>
              <a:rPr lang="en-US" altLang="zh-CN" baseline="0"/>
              <a:t> vs £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Cost!$A$47:$A$51</c:f>
              <c:numCache>
                <c:formatCode>General</c:formatCode>
                <c:ptCount val="5"/>
                <c:pt idx="0">
                  <c:v>100</c:v>
                </c:pt>
                <c:pt idx="1">
                  <c:v>800</c:v>
                </c:pt>
                <c:pt idx="2">
                  <c:v>1000</c:v>
                </c:pt>
                <c:pt idx="3">
                  <c:v>3000</c:v>
                </c:pt>
                <c:pt idx="4">
                  <c:v>3500</c:v>
                </c:pt>
              </c:numCache>
            </c:numRef>
          </c:xVal>
          <c:yVal>
            <c:numRef>
              <c:f>Cost!$E$47:$E$51</c:f>
              <c:numCache>
                <c:formatCode>General</c:formatCode>
                <c:ptCount val="5"/>
                <c:pt idx="0">
                  <c:v>279450</c:v>
                </c:pt>
                <c:pt idx="1">
                  <c:v>710699.99999999988</c:v>
                </c:pt>
                <c:pt idx="2">
                  <c:v>862499.99999999988</c:v>
                </c:pt>
                <c:pt idx="3">
                  <c:v>1607699.9999999998</c:v>
                </c:pt>
                <c:pt idx="4">
                  <c:v>2159700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1-4770-9E45-24F3DCE4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26847"/>
        <c:axId val="408225407"/>
      </c:scatterChart>
      <c:valAx>
        <c:axId val="4082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output kW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5407"/>
        <c:crosses val="autoZero"/>
        <c:crossBetween val="midCat"/>
      </c:valAx>
      <c:valAx>
        <c:axId val="408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 cost £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'Blade design'!$L$1:$L$2</c:f>
              <c:strCache>
                <c:ptCount val="2"/>
                <c:pt idx="0">
                  <c:v>Target stress (MPa) GF</c:v>
                </c:pt>
                <c:pt idx="1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'Blade design'!$C$3:$C$20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design'!$I$3:$I$20</c:f>
              <c:numCache>
                <c:formatCode>0.0</c:formatCode>
                <c:ptCount val="18"/>
                <c:pt idx="0">
                  <c:v>128.67588306800423</c:v>
                </c:pt>
                <c:pt idx="1">
                  <c:v>106.25338281154606</c:v>
                </c:pt>
                <c:pt idx="2">
                  <c:v>88.217377469667142</c:v>
                </c:pt>
                <c:pt idx="3">
                  <c:v>231.30159553765517</c:v>
                </c:pt>
                <c:pt idx="4">
                  <c:v>236.34257558650876</c:v>
                </c:pt>
                <c:pt idx="5">
                  <c:v>193.73750890358869</c:v>
                </c:pt>
                <c:pt idx="6">
                  <c:v>252.30363470283774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62.6464538164091</c:v>
                </c:pt>
                <c:pt idx="13">
                  <c:v>27.329040442036256</c:v>
                </c:pt>
                <c:pt idx="14">
                  <c:v>10.570089583311372</c:v>
                </c:pt>
                <c:pt idx="15">
                  <c:v>3.1376956766876494</c:v>
                </c:pt>
                <c:pt idx="16">
                  <c:v>0.22457410521771193</c:v>
                </c:pt>
                <c:pt idx="17">
                  <c:v>1.3056251031940607E-6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3-4AD7-9204-42C5DBE9AF1E}"/>
            </c:ext>
          </c:extLst>
        </c:ser>
        <c:ser>
          <c:idx val="1"/>
          <c:order val="1"/>
          <c:tx>
            <c:strRef>
              <c:f>'Blade design'!$L$24:$L$25</c:f>
              <c:strCache>
                <c:ptCount val="2"/>
                <c:pt idx="0">
                  <c:v>Target stress (MPa) CF</c:v>
                </c:pt>
                <c:pt idx="1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'Blade design'!$C$26:$C$43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design'!$I$26:$I$43</c:f>
              <c:numCache>
                <c:formatCode>0.0</c:formatCode>
                <c:ptCount val="18"/>
                <c:pt idx="0">
                  <c:v>48.825043870326169</c:v>
                </c:pt>
                <c:pt idx="1">
                  <c:v>40.869222829901716</c:v>
                </c:pt>
                <c:pt idx="2">
                  <c:v>34.258143629726064</c:v>
                </c:pt>
                <c:pt idx="3">
                  <c:v>73.329310475826489</c:v>
                </c:pt>
                <c:pt idx="4">
                  <c:v>71.141141822787816</c:v>
                </c:pt>
                <c:pt idx="5">
                  <c:v>61.653408787649376</c:v>
                </c:pt>
                <c:pt idx="6">
                  <c:v>63.826328212320846</c:v>
                </c:pt>
                <c:pt idx="7">
                  <c:v>68.07025689217113</c:v>
                </c:pt>
                <c:pt idx="8">
                  <c:v>55.131698500890614</c:v>
                </c:pt>
                <c:pt idx="9">
                  <c:v>54.361868098487811</c:v>
                </c:pt>
                <c:pt idx="10">
                  <c:v>39.523229154058406</c:v>
                </c:pt>
                <c:pt idx="11">
                  <c:v>32.879090804611842</c:v>
                </c:pt>
                <c:pt idx="12">
                  <c:v>19.831612727749064</c:v>
                </c:pt>
                <c:pt idx="13">
                  <c:v>9.9581187007931593</c:v>
                </c:pt>
                <c:pt idx="14">
                  <c:v>4.0793415476075578</c:v>
                </c:pt>
                <c:pt idx="15">
                  <c:v>1.2409578127418495</c:v>
                </c:pt>
                <c:pt idx="16">
                  <c:v>8.9724736556249282E-2</c:v>
                </c:pt>
                <c:pt idx="17">
                  <c:v>5.2225003478053257E-7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3-4AD7-9204-42C5DBE9AF1E}"/>
            </c:ext>
          </c:extLst>
        </c:ser>
        <c:ser>
          <c:idx val="2"/>
          <c:order val="2"/>
          <c:tx>
            <c:strRef>
              <c:f>'Blade design'!$L$47:$L$48</c:f>
              <c:strCache>
                <c:ptCount val="2"/>
                <c:pt idx="0">
                  <c:v>Target stress (MPa) GF+CF</c:v>
                </c:pt>
                <c:pt idx="1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'Blade design'!$C$49:$C$66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design'!$I$49:$I$66</c:f>
              <c:numCache>
                <c:formatCode>0.0</c:formatCode>
                <c:ptCount val="18"/>
                <c:pt idx="0">
                  <c:v>83.217166945292561</c:v>
                </c:pt>
                <c:pt idx="1">
                  <c:v>69.270882025803587</c:v>
                </c:pt>
                <c:pt idx="2">
                  <c:v>57.833613103295924</c:v>
                </c:pt>
                <c:pt idx="3">
                  <c:v>132.5134740291644</c:v>
                </c:pt>
                <c:pt idx="4">
                  <c:v>130.04331756106336</c:v>
                </c:pt>
                <c:pt idx="5">
                  <c:v>111.31000828499667</c:v>
                </c:pt>
                <c:pt idx="6">
                  <c:v>119.27498545164636</c:v>
                </c:pt>
                <c:pt idx="7">
                  <c:v>139.12142876865468</c:v>
                </c:pt>
                <c:pt idx="8">
                  <c:v>106.88943305540161</c:v>
                </c:pt>
                <c:pt idx="9">
                  <c:v>116.82780635836932</c:v>
                </c:pt>
                <c:pt idx="10">
                  <c:v>76.25238936944595</c:v>
                </c:pt>
                <c:pt idx="11">
                  <c:v>64.336323559556135</c:v>
                </c:pt>
                <c:pt idx="12">
                  <c:v>35.850569851364256</c:v>
                </c:pt>
                <c:pt idx="13">
                  <c:v>17.240518433004894</c:v>
                </c:pt>
                <c:pt idx="14">
                  <c:v>6.9045982494946969</c:v>
                </c:pt>
                <c:pt idx="15">
                  <c:v>2.0785904734009586</c:v>
                </c:pt>
                <c:pt idx="16">
                  <c:v>0.14961883445054683</c:v>
                </c:pt>
                <c:pt idx="17">
                  <c:v>8.704167354627071E-7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4-449C-B4F7-541D2B8A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29903"/>
        <c:axId val="1284102063"/>
      </c:scatterChart>
      <c:valAx>
        <c:axId val="12841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Radial station</a:t>
                </a:r>
                <a:r>
                  <a:rPr lang="en-US" altLang="zh-CN" baseline="0"/>
                  <a:t> 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02063"/>
        <c:crosses val="autoZero"/>
        <c:crossBetween val="midCat"/>
      </c:valAx>
      <c:valAx>
        <c:axId val="12841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Spar cap</a:t>
                </a:r>
                <a:r>
                  <a:rPr lang="en-US" altLang="zh-CN" baseline="0"/>
                  <a:t> thickness t 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'Blade design'!$S$1</c:f>
              <c:strCache>
                <c:ptCount val="1"/>
                <c:pt idx="0">
                  <c:v>Bending moment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design'!$S$3:$S$20</c:f>
              <c:numCache>
                <c:formatCode>0.00000_);[Red]\(0.00000\)</c:formatCode>
                <c:ptCount val="18"/>
                <c:pt idx="0">
                  <c:v>8927.4500000000007</c:v>
                </c:pt>
                <c:pt idx="1">
                  <c:v>8189.2</c:v>
                </c:pt>
                <c:pt idx="2">
                  <c:v>7461.64</c:v>
                </c:pt>
                <c:pt idx="3">
                  <c:v>6572.29</c:v>
                </c:pt>
                <c:pt idx="4">
                  <c:v>5588.84</c:v>
                </c:pt>
                <c:pt idx="5">
                  <c:v>4688.21</c:v>
                </c:pt>
                <c:pt idx="6">
                  <c:v>3851.68</c:v>
                </c:pt>
                <c:pt idx="7">
                  <c:v>3084.64</c:v>
                </c:pt>
                <c:pt idx="8">
                  <c:v>2392.4899999999998</c:v>
                </c:pt>
                <c:pt idx="9">
                  <c:v>1780.32</c:v>
                </c:pt>
                <c:pt idx="10">
                  <c:v>1254.96</c:v>
                </c:pt>
                <c:pt idx="11">
                  <c:v>821.053</c:v>
                </c:pt>
                <c:pt idx="12">
                  <c:v>479.053</c:v>
                </c:pt>
                <c:pt idx="13">
                  <c:v>228.59899999999999</c:v>
                </c:pt>
                <c:pt idx="14">
                  <c:v>88.604100000000003</c:v>
                </c:pt>
                <c:pt idx="15">
                  <c:v>24.621300000000002</c:v>
                </c:pt>
                <c:pt idx="16">
                  <c:v>1.21929</c:v>
                </c:pt>
                <c:pt idx="17">
                  <c:v>7.1024900000000003E-6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B-4752-97A0-F49683EAE07B}"/>
            </c:ext>
          </c:extLst>
        </c:ser>
        <c:ser>
          <c:idx val="1"/>
          <c:order val="1"/>
          <c:tx>
            <c:strRef>
              <c:f>'Blade design'!$T$1</c:f>
              <c:strCache>
                <c:ptCount val="1"/>
                <c:pt idx="0">
                  <c:v>Design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design'!$T$3:$T$20</c:f>
              <c:numCache>
                <c:formatCode>0.00000_);[Red]\(0.00000\)</c:formatCode>
                <c:ptCount val="18"/>
                <c:pt idx="0">
                  <c:v>13391.175000000001</c:v>
                </c:pt>
                <c:pt idx="1">
                  <c:v>12283.8</c:v>
                </c:pt>
                <c:pt idx="2">
                  <c:v>11192.460000000001</c:v>
                </c:pt>
                <c:pt idx="3">
                  <c:v>9858.4349999999995</c:v>
                </c:pt>
                <c:pt idx="4">
                  <c:v>8383.26</c:v>
                </c:pt>
                <c:pt idx="5">
                  <c:v>7032.3150000000005</c:v>
                </c:pt>
                <c:pt idx="6">
                  <c:v>5777.5199999999995</c:v>
                </c:pt>
                <c:pt idx="7">
                  <c:v>4626.96</c:v>
                </c:pt>
                <c:pt idx="8">
                  <c:v>3588.7349999999997</c:v>
                </c:pt>
                <c:pt idx="9">
                  <c:v>2670.48</c:v>
                </c:pt>
                <c:pt idx="10">
                  <c:v>1882.44</c:v>
                </c:pt>
                <c:pt idx="11">
                  <c:v>1231.5795000000001</c:v>
                </c:pt>
                <c:pt idx="12">
                  <c:v>718.57950000000005</c:v>
                </c:pt>
                <c:pt idx="13">
                  <c:v>342.89850000000001</c:v>
                </c:pt>
                <c:pt idx="14">
                  <c:v>132.90615</c:v>
                </c:pt>
                <c:pt idx="15">
                  <c:v>36.931950000000001</c:v>
                </c:pt>
                <c:pt idx="16">
                  <c:v>1.828935</c:v>
                </c:pt>
                <c:pt idx="17">
                  <c:v>1.0653735E-5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B-4752-97A0-F49683EAE07B}"/>
            </c:ext>
          </c:extLst>
        </c:ser>
        <c:ser>
          <c:idx val="2"/>
          <c:order val="2"/>
          <c:tx>
            <c:strRef>
              <c:f>'Blade design'!$U$1</c:f>
              <c:strCache>
                <c:ptCount val="1"/>
                <c:pt idx="0">
                  <c:v>Proof Load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design'!$U$3:$U$20</c:f>
              <c:numCache>
                <c:formatCode>0.00000_);[Red]\(0.00000\)</c:formatCode>
                <c:ptCount val="18"/>
                <c:pt idx="0">
                  <c:v>16203.321750000001</c:v>
                </c:pt>
                <c:pt idx="1">
                  <c:v>14863.397999999999</c:v>
                </c:pt>
                <c:pt idx="2">
                  <c:v>13542.876600000001</c:v>
                </c:pt>
                <c:pt idx="3">
                  <c:v>11928.706349999999</c:v>
                </c:pt>
                <c:pt idx="4">
                  <c:v>10143.7446</c:v>
                </c:pt>
                <c:pt idx="5">
                  <c:v>8509.1011500000004</c:v>
                </c:pt>
                <c:pt idx="6">
                  <c:v>6990.7991999999995</c:v>
                </c:pt>
                <c:pt idx="7">
                  <c:v>5598.6215999999995</c:v>
                </c:pt>
                <c:pt idx="8">
                  <c:v>4342.369349999999</c:v>
                </c:pt>
                <c:pt idx="9">
                  <c:v>3231.2808</c:v>
                </c:pt>
                <c:pt idx="10">
                  <c:v>2277.7523999999999</c:v>
                </c:pt>
                <c:pt idx="11">
                  <c:v>1490.2111950000001</c:v>
                </c:pt>
                <c:pt idx="12">
                  <c:v>869.48119500000007</c:v>
                </c:pt>
                <c:pt idx="13">
                  <c:v>414.90718500000003</c:v>
                </c:pt>
                <c:pt idx="14">
                  <c:v>160.8164415</c:v>
                </c:pt>
                <c:pt idx="15">
                  <c:v>44.687659500000002</c:v>
                </c:pt>
                <c:pt idx="16">
                  <c:v>2.2130113499999999</c:v>
                </c:pt>
                <c:pt idx="17">
                  <c:v>1.289101935E-5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4B-4752-97A0-F49683EAE07B}"/>
            </c:ext>
          </c:extLst>
        </c:ser>
        <c:ser>
          <c:idx val="3"/>
          <c:order val="3"/>
          <c:tx>
            <c:strRef>
              <c:f>'Blade design'!$V$1</c:f>
              <c:strCache>
                <c:ptCount val="1"/>
                <c:pt idx="0">
                  <c:v>Calculated Bending moment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design'!$V$3:$V$20</c:f>
              <c:numCache>
                <c:formatCode>General</c:formatCode>
                <c:ptCount val="18"/>
                <c:pt idx="0">
                  <c:v>7487.8724453191353</c:v>
                </c:pt>
                <c:pt idx="1">
                  <c:v>7124.3925491494656</c:v>
                </c:pt>
                <c:pt idx="2">
                  <c:v>6639.9601087283554</c:v>
                </c:pt>
                <c:pt idx="3">
                  <c:v>6095.637037491786</c:v>
                </c:pt>
                <c:pt idx="4">
                  <c:v>5432.021493408578</c:v>
                </c:pt>
                <c:pt idx="5">
                  <c:v>4722.4383461346852</c:v>
                </c:pt>
                <c:pt idx="6">
                  <c:v>4035.4889648794206</c:v>
                </c:pt>
                <c:pt idx="7">
                  <c:v>3376.9301361028247</c:v>
                </c:pt>
                <c:pt idx="8">
                  <c:v>2753.1461908225506</c:v>
                </c:pt>
                <c:pt idx="9">
                  <c:v>2172.3137747535675</c:v>
                </c:pt>
                <c:pt idx="10">
                  <c:v>1641.9050872102575</c:v>
                </c:pt>
                <c:pt idx="11">
                  <c:v>1171.1914348622006</c:v>
                </c:pt>
                <c:pt idx="12">
                  <c:v>769.10878352581972</c:v>
                </c:pt>
                <c:pt idx="13">
                  <c:v>440.42734559547279</c:v>
                </c:pt>
                <c:pt idx="14">
                  <c:v>212.99318261575129</c:v>
                </c:pt>
                <c:pt idx="15">
                  <c:v>100.57325879097601</c:v>
                </c:pt>
                <c:pt idx="16">
                  <c:v>25.525808888560146</c:v>
                </c:pt>
                <c:pt idx="17">
                  <c:v>2.3327830392455589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D-4167-89D0-02FEEE12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58928"/>
        <c:axId val="729068528"/>
      </c:scatterChart>
      <c:valAx>
        <c:axId val="7290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068528"/>
        <c:crosses val="autoZero"/>
        <c:crossBetween val="midCat"/>
      </c:valAx>
      <c:valAx>
        <c:axId val="7290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0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Cost vs</a:t>
            </a:r>
            <a:r>
              <a:rPr lang="en-US" altLang="zh-CN" baseline="0"/>
              <a:t> Blade length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'Blade design'!$C$109</c:f>
              <c:strCache>
                <c:ptCount val="1"/>
                <c:pt idx="0">
                  <c:v>material cost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'Blade design'!$B$110:$B$112</c:f>
              <c:numCache>
                <c:formatCode>General</c:formatCode>
                <c:ptCount val="3"/>
                <c:pt idx="0">
                  <c:v>33.25</c:v>
                </c:pt>
                <c:pt idx="1">
                  <c:v>75</c:v>
                </c:pt>
                <c:pt idx="2">
                  <c:v>100</c:v>
                </c:pt>
              </c:numCache>
            </c:numRef>
          </c:xVal>
          <c:yVal>
            <c:numRef>
              <c:f>'Blade design'!$C$110:$C$112</c:f>
              <c:numCache>
                <c:formatCode>#,##0.00</c:formatCode>
                <c:ptCount val="3"/>
                <c:pt idx="0">
                  <c:v>24577.65</c:v>
                </c:pt>
                <c:pt idx="1">
                  <c:v>73638.820000000007</c:v>
                </c:pt>
                <c:pt idx="2">
                  <c:v>327375.64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0-43BD-8071-40E0DD5FC06D}"/>
            </c:ext>
          </c:extLst>
        </c:ser>
        <c:ser>
          <c:idx val="1"/>
          <c:order val="1"/>
          <c:tx>
            <c:strRef>
              <c:f>'Blade design'!$D$109</c:f>
              <c:strCache>
                <c:ptCount val="1"/>
                <c:pt idx="0">
                  <c:v>blade cost $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'Blade design'!$B$110:$B$112</c:f>
              <c:numCache>
                <c:formatCode>General</c:formatCode>
                <c:ptCount val="3"/>
                <c:pt idx="0">
                  <c:v>33.25</c:v>
                </c:pt>
                <c:pt idx="1">
                  <c:v>75</c:v>
                </c:pt>
                <c:pt idx="2">
                  <c:v>100</c:v>
                </c:pt>
              </c:numCache>
            </c:numRef>
          </c:xVal>
          <c:yVal>
            <c:numRef>
              <c:f>'Blade design'!$D$110:$D$112</c:f>
              <c:numCache>
                <c:formatCode>#,##0.00</c:formatCode>
                <c:ptCount val="3"/>
                <c:pt idx="0">
                  <c:v>52146.09</c:v>
                </c:pt>
                <c:pt idx="1">
                  <c:v>154090.4</c:v>
                </c:pt>
                <c:pt idx="2">
                  <c:v>547723.35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60-43BD-8071-40E0DD5FC06D}"/>
            </c:ext>
          </c:extLst>
        </c:ser>
        <c:ser>
          <c:idx val="2"/>
          <c:order val="2"/>
          <c:tx>
            <c:v>estimation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55.64</c:v>
              </c:pt>
              <c:pt idx="1">
                <c:v>55.64</c:v>
              </c:pt>
              <c:pt idx="2">
                <c:v>55.64</c:v>
              </c:pt>
              <c:pt idx="3">
                <c:v>55.64</c:v>
              </c:pt>
              <c:pt idx="4">
                <c:v>55.64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100000</c:v>
              </c:pt>
              <c:pt idx="2">
                <c:v>200000</c:v>
              </c:pt>
              <c:pt idx="3">
                <c:v>300000</c:v>
              </c:pt>
              <c:pt idx="4">
                <c:v>600000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ED-4B79-9F72-46DFE873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22816"/>
        <c:axId val="267925216"/>
      </c:scatterChart>
      <c:valAx>
        <c:axId val="2679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925216"/>
        <c:crosses val="autoZero"/>
        <c:crossBetween val="midCat"/>
      </c:valAx>
      <c:valAx>
        <c:axId val="2679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9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Tower Resonance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'Tower design'!$K$31</c:f>
              <c:strCache>
                <c:ptCount val="1"/>
                <c:pt idx="0">
                  <c:v>1P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'Tower design'!$J$32:$J$44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.00">
                  <c:v>13.06786080387964</c:v>
                </c:pt>
              </c:numCache>
            </c:numRef>
          </c:xVal>
          <c:yVal>
            <c:numRef>
              <c:f>'Tower design'!$K$32:$K$44</c:f>
              <c:numCache>
                <c:formatCode>0.0000</c:formatCode>
                <c:ptCount val="13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0.21779768006466066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5-4755-ACEA-94B2F11B6565}"/>
            </c:ext>
          </c:extLst>
        </c:ser>
        <c:ser>
          <c:idx val="1"/>
          <c:order val="1"/>
          <c:tx>
            <c:strRef>
              <c:f>'Tower design'!$L$31</c:f>
              <c:strCache>
                <c:ptCount val="1"/>
                <c:pt idx="0">
                  <c:v>2P (Hz)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'Tower design'!$J$32:$J$44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.00">
                  <c:v>13.06786080387964</c:v>
                </c:pt>
              </c:numCache>
            </c:numRef>
          </c:xVal>
          <c:yVal>
            <c:numRef>
              <c:f>'Tower design'!$L$32:$L$44</c:f>
              <c:numCache>
                <c:formatCode>0.0000</c:formatCode>
                <c:ptCount val="13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0.43559536012932132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5-4755-ACEA-94B2F11B6565}"/>
            </c:ext>
          </c:extLst>
        </c:ser>
        <c:ser>
          <c:idx val="2"/>
          <c:order val="2"/>
          <c:tx>
            <c:strRef>
              <c:f>'Tower design'!$M$31</c:f>
              <c:strCache>
                <c:ptCount val="1"/>
                <c:pt idx="0">
                  <c:v>3P (Hz)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'Tower design'!$J$32:$J$44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.00">
                  <c:v>13.06786080387964</c:v>
                </c:pt>
              </c:numCache>
            </c:numRef>
          </c:xVal>
          <c:yVal>
            <c:numRef>
              <c:f>'Tower design'!$M$32:$M$44</c:f>
              <c:numCache>
                <c:formatCode>0.000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0.60000000000000009</c:v>
                </c:pt>
                <c:pt idx="12">
                  <c:v>0.65339304019398203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5-4755-ACEA-94B2F11B6565}"/>
            </c:ext>
          </c:extLst>
        </c:ser>
        <c:ser>
          <c:idx val="3"/>
          <c:order val="3"/>
          <c:tx>
            <c:strRef>
              <c:f>'Tower design'!$N$31</c:f>
              <c:strCache>
                <c:ptCount val="1"/>
                <c:pt idx="0">
                  <c:v>Natural frequency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'Tower design'!$J$32:$J$44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.00">
                  <c:v>13.06786080387964</c:v>
                </c:pt>
              </c:numCache>
            </c:numRef>
          </c:xVal>
          <c:yVal>
            <c:numRef>
              <c:f>'Tower design'!$N$32:$N$44</c:f>
              <c:numCache>
                <c:formatCode>General</c:formatCode>
                <c:ptCount val="13"/>
                <c:pt idx="0">
                  <c:v>0.34993000000000002</c:v>
                </c:pt>
                <c:pt idx="1">
                  <c:v>0.34993000000000002</c:v>
                </c:pt>
                <c:pt idx="2">
                  <c:v>0.34993000000000002</c:v>
                </c:pt>
                <c:pt idx="3">
                  <c:v>0.34993000000000002</c:v>
                </c:pt>
                <c:pt idx="4">
                  <c:v>0.34993000000000002</c:v>
                </c:pt>
                <c:pt idx="5">
                  <c:v>0.34993000000000002</c:v>
                </c:pt>
                <c:pt idx="6">
                  <c:v>0.34993000000000002</c:v>
                </c:pt>
                <c:pt idx="7">
                  <c:v>0.34993000000000002</c:v>
                </c:pt>
                <c:pt idx="8">
                  <c:v>0.34993000000000002</c:v>
                </c:pt>
                <c:pt idx="9">
                  <c:v>0.34993000000000002</c:v>
                </c:pt>
                <c:pt idx="10">
                  <c:v>0.34993000000000002</c:v>
                </c:pt>
                <c:pt idx="11">
                  <c:v>0.34993000000000002</c:v>
                </c:pt>
                <c:pt idx="12">
                  <c:v>0.34993000000000002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E5-4755-ACEA-94B2F11B6565}"/>
            </c:ext>
          </c:extLst>
        </c:ser>
        <c:ser>
          <c:idx val="4"/>
          <c:order val="4"/>
          <c:tx>
            <c:strRef>
              <c:f>'Tower design'!$O$31</c:f>
              <c:strCache>
                <c:ptCount val="1"/>
                <c:pt idx="0">
                  <c:v>Natural frequency 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'Tower design'!$J$32:$J$44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.00">
                  <c:v>13.06786080387964</c:v>
                </c:pt>
              </c:numCache>
            </c:numRef>
          </c:xVal>
          <c:yVal>
            <c:numRef>
              <c:f>'Tower design'!$O$32:$O$44</c:f>
              <c:numCache>
                <c:formatCode>General</c:formatCode>
                <c:ptCount val="13"/>
                <c:pt idx="0">
                  <c:v>0.35137200000000002</c:v>
                </c:pt>
                <c:pt idx="1">
                  <c:v>0.35137200000000002</c:v>
                </c:pt>
                <c:pt idx="2">
                  <c:v>0.35137200000000002</c:v>
                </c:pt>
                <c:pt idx="3">
                  <c:v>0.35137200000000002</c:v>
                </c:pt>
                <c:pt idx="4">
                  <c:v>0.35137200000000002</c:v>
                </c:pt>
                <c:pt idx="5">
                  <c:v>0.35137200000000002</c:v>
                </c:pt>
                <c:pt idx="6">
                  <c:v>0.35137200000000002</c:v>
                </c:pt>
                <c:pt idx="7">
                  <c:v>0.35137200000000002</c:v>
                </c:pt>
                <c:pt idx="8">
                  <c:v>0.35137200000000002</c:v>
                </c:pt>
                <c:pt idx="9">
                  <c:v>0.35137200000000002</c:v>
                </c:pt>
                <c:pt idx="10">
                  <c:v>0.35137200000000002</c:v>
                </c:pt>
                <c:pt idx="11">
                  <c:v>0.35137200000000002</c:v>
                </c:pt>
                <c:pt idx="12">
                  <c:v>0.35137200000000002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5-4755-ACEA-94B2F11B6565}"/>
            </c:ext>
          </c:extLst>
        </c:ser>
        <c:ser>
          <c:idx val="5"/>
          <c:order val="5"/>
          <c:tx>
            <c:strRef>
              <c:f>'Tower design'!$P$31</c:f>
              <c:strCache>
                <c:ptCount val="1"/>
                <c:pt idx="0">
                  <c:v>Natural frequency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'Tower design'!$J$32:$J$44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 formatCode="0.00">
                  <c:v>13.06786080387964</c:v>
                </c:pt>
              </c:numCache>
            </c:numRef>
          </c:xVal>
          <c:yVal>
            <c:numRef>
              <c:f>'Tower design'!$P$32:$P$44</c:f>
              <c:numCache>
                <c:formatCode>General</c:formatCode>
                <c:ptCount val="13"/>
                <c:pt idx="0">
                  <c:v>0.80320499999999995</c:v>
                </c:pt>
                <c:pt idx="1">
                  <c:v>0.80320499999999995</c:v>
                </c:pt>
                <c:pt idx="2">
                  <c:v>0.80320499999999995</c:v>
                </c:pt>
                <c:pt idx="3">
                  <c:v>0.80320499999999995</c:v>
                </c:pt>
                <c:pt idx="4">
                  <c:v>0.80320499999999995</c:v>
                </c:pt>
                <c:pt idx="5">
                  <c:v>0.80320499999999995</c:v>
                </c:pt>
                <c:pt idx="6">
                  <c:v>0.80320499999999995</c:v>
                </c:pt>
                <c:pt idx="7">
                  <c:v>0.80320499999999995</c:v>
                </c:pt>
                <c:pt idx="8">
                  <c:v>0.80320499999999995</c:v>
                </c:pt>
                <c:pt idx="9">
                  <c:v>0.80320499999999995</c:v>
                </c:pt>
                <c:pt idx="10">
                  <c:v>0.80320499999999995</c:v>
                </c:pt>
                <c:pt idx="11">
                  <c:v>0.80320499999999995</c:v>
                </c:pt>
                <c:pt idx="12">
                  <c:v>0.80320499999999995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E5-4755-ACEA-94B2F11B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3712"/>
        <c:axId val="714646592"/>
      </c:scatterChart>
      <c:valAx>
        <c:axId val="7146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Roter speed</a:t>
                </a:r>
                <a:r>
                  <a:rPr lang="en-US" altLang="zh-CN" baseline="0"/>
                  <a:t> RPM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646592"/>
        <c:crosses val="autoZero"/>
        <c:crossBetween val="midCat"/>
      </c:valAx>
      <c:valAx>
        <c:axId val="714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6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84733470016644"/>
          <c:y val="0.81089714643405475"/>
          <c:w val="0.61877674354409018"/>
          <c:h val="0.13452701819431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'Foundation design'!$A$4:$A$29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11.78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'Foundation design'!$B$4:$B$29</c:f>
              <c:numCache>
                <c:formatCode>General</c:formatCode>
                <c:ptCount val="26"/>
                <c:pt idx="0">
                  <c:v>8.8652300000000004</c:v>
                </c:pt>
                <c:pt idx="1">
                  <c:v>30.680499999999999</c:v>
                </c:pt>
                <c:pt idx="2">
                  <c:v>63.340899999999998</c:v>
                </c:pt>
                <c:pt idx="3">
                  <c:v>96.855699999999999</c:v>
                </c:pt>
                <c:pt idx="4">
                  <c:v>142.08099999999999</c:v>
                </c:pt>
                <c:pt idx="5">
                  <c:v>189.70099999999999</c:v>
                </c:pt>
                <c:pt idx="6">
                  <c:v>244.37200000000001</c:v>
                </c:pt>
                <c:pt idx="7">
                  <c:v>303.745</c:v>
                </c:pt>
                <c:pt idx="8">
                  <c:v>381.82799999999997</c:v>
                </c:pt>
                <c:pt idx="9">
                  <c:v>469.66300000000001</c:v>
                </c:pt>
                <c:pt idx="10">
                  <c:v>552.39099999999996</c:v>
                </c:pt>
                <c:pt idx="11">
                  <c:v>606.70699999999999</c:v>
                </c:pt>
                <c:pt idx="12">
                  <c:v>551.54700000000003</c:v>
                </c:pt>
                <c:pt idx="13">
                  <c:v>473.57100000000003</c:v>
                </c:pt>
                <c:pt idx="14">
                  <c:v>417.46600000000001</c:v>
                </c:pt>
                <c:pt idx="15">
                  <c:v>384.82900000000001</c:v>
                </c:pt>
                <c:pt idx="16">
                  <c:v>359.69499999999999</c:v>
                </c:pt>
                <c:pt idx="17">
                  <c:v>321.30099999999999</c:v>
                </c:pt>
                <c:pt idx="18">
                  <c:v>291.82900000000001</c:v>
                </c:pt>
                <c:pt idx="19">
                  <c:v>287.38</c:v>
                </c:pt>
                <c:pt idx="20">
                  <c:v>279.64699999999999</c:v>
                </c:pt>
                <c:pt idx="21">
                  <c:v>272.642</c:v>
                </c:pt>
                <c:pt idx="22">
                  <c:v>265.36599999999999</c:v>
                </c:pt>
                <c:pt idx="23">
                  <c:v>255.839</c:v>
                </c:pt>
                <c:pt idx="24">
                  <c:v>237.172</c:v>
                </c:pt>
                <c:pt idx="25">
                  <c:v>229.83699999999999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1-43E3-8F24-0E10C44A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02528"/>
        <c:axId val="679212128"/>
      </c:scatterChart>
      <c:valAx>
        <c:axId val="6792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 speed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12128"/>
        <c:crosses val="autoZero"/>
        <c:crossBetween val="midCat"/>
      </c:valAx>
      <c:valAx>
        <c:axId val="6792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Thrust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P90 Energy per WT per year (kWh)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'Energy Yield'!$D$2:$D$27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4F69-AAB3-DF650E9E88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val>
            <c:numRef>
              <c:f>'Energy Yield'!$F$2:$F$27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39874.493614924701</c:v>
                </c:pt>
                <c:pt idx="4">
                  <c:v>186649.78558896497</c:v>
                </c:pt>
                <c:pt idx="5">
                  <c:v>384987.14916598785</c:v>
                </c:pt>
                <c:pt idx="6">
                  <c:v>673987.38744698116</c:v>
                </c:pt>
                <c:pt idx="7">
                  <c:v>946192.52624036383</c:v>
                </c:pt>
                <c:pt idx="8">
                  <c:v>1161590.8086845085</c:v>
                </c:pt>
                <c:pt idx="9">
                  <c:v>1265500.9350974183</c:v>
                </c:pt>
                <c:pt idx="10">
                  <c:v>1258049.8636753156</c:v>
                </c:pt>
                <c:pt idx="11">
                  <c:v>1150801.8464275803</c:v>
                </c:pt>
                <c:pt idx="12">
                  <c:v>897396.52189653204</c:v>
                </c:pt>
                <c:pt idx="13">
                  <c:v>562003.38578033738</c:v>
                </c:pt>
                <c:pt idx="14">
                  <c:v>326173.25622541213</c:v>
                </c:pt>
                <c:pt idx="15">
                  <c:v>183612.2802478403</c:v>
                </c:pt>
                <c:pt idx="16">
                  <c:v>96610.324273759587</c:v>
                </c:pt>
                <c:pt idx="17">
                  <c:v>49077.109272533904</c:v>
                </c:pt>
                <c:pt idx="18">
                  <c:v>24226.660678905864</c:v>
                </c:pt>
                <c:pt idx="19">
                  <c:v>11103.289764480483</c:v>
                </c:pt>
                <c:pt idx="20">
                  <c:v>4766.1798131904216</c:v>
                </c:pt>
                <c:pt idx="21">
                  <c:v>2003.5913536650071</c:v>
                </c:pt>
                <c:pt idx="22">
                  <c:v>811.59764359342876</c:v>
                </c:pt>
                <c:pt idx="23">
                  <c:v>305.6911381918402</c:v>
                </c:pt>
                <c:pt idx="24">
                  <c:v>110.56585624942247</c:v>
                </c:pt>
                <c:pt idx="25">
                  <c:v>38.894438524417573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D-4F69-AAB3-DF650E9E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5023"/>
        <c:axId val="114258383"/>
      </c:areaChart>
      <c:catAx>
        <c:axId val="11425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</a:t>
                </a:r>
                <a:r>
                  <a:rPr lang="en-US" altLang="zh-CN" baseline="0"/>
                  <a:t> speed m/s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8383"/>
        <c:crosses val="autoZero"/>
        <c:auto val="1"/>
        <c:lblAlgn val="ctr"/>
        <c:lblOffset val="100"/>
        <c:noMultiLvlLbl val="0"/>
      </c:catAx>
      <c:valAx>
        <c:axId val="1142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kWh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vs wind speed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34424079878716"/>
          <c:y val="0.14921265043047563"/>
          <c:w val="0.80931037557925611"/>
          <c:h val="0.67215334745919753"/>
        </c:manualLayout>
      </c:layout>
      <c:scatterChart>
        <c:scatterStyle val="lineMarker"/>
        <c:varyColors val="0"/>
        <c:ser>
          <c:idx val="0"/>
          <c:order val="0"/>
          <c:tx>
            <c:v>calculated 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Curves!$A$24:$A$50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11.78312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Curves!$E$24:$E$50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82.524550524327623</c:v>
                </c:pt>
                <c:pt idx="4">
                  <c:v>195.61374939099883</c:v>
                </c:pt>
                <c:pt idx="5">
                  <c:v>382.05810427929458</c:v>
                </c:pt>
                <c:pt idx="6">
                  <c:v>660.19640419462098</c:v>
                </c:pt>
                <c:pt idx="7">
                  <c:v>1048.3674381423843</c:v>
                </c:pt>
                <c:pt idx="8">
                  <c:v>1564.9099951279907</c:v>
                </c:pt>
                <c:pt idx="9">
                  <c:v>2228.1628641568459</c:v>
                </c:pt>
                <c:pt idx="10">
                  <c:v>3056.4648342343567</c:v>
                </c:pt>
                <c:pt idx="11">
                  <c:v>4068.1546943659287</c:v>
                </c:pt>
                <c:pt idx="12">
                  <c:v>4500</c:v>
                </c:pt>
                <c:pt idx="13">
                  <c:v>4500</c:v>
                </c:pt>
                <c:pt idx="14">
                  <c:v>4500</c:v>
                </c:pt>
                <c:pt idx="15">
                  <c:v>4500</c:v>
                </c:pt>
                <c:pt idx="16">
                  <c:v>4500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4500</c:v>
                </c:pt>
                <c:pt idx="22">
                  <c:v>4500</c:v>
                </c:pt>
                <c:pt idx="23">
                  <c:v>4500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677-8D1D-518F994FE943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Curves!$B$62:$B$88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41.3979</c:v>
                </c:pt>
                <c:pt idx="4">
                  <c:v>170.09899999999999</c:v>
                </c:pt>
                <c:pt idx="5">
                  <c:v>343.608</c:v>
                </c:pt>
                <c:pt idx="6">
                  <c:v>641.89400000000001</c:v>
                </c:pt>
                <c:pt idx="7">
                  <c:v>1034.53</c:v>
                </c:pt>
                <c:pt idx="8">
                  <c:v>1556.85</c:v>
                </c:pt>
                <c:pt idx="9">
                  <c:v>2209.27</c:v>
                </c:pt>
                <c:pt idx="10">
                  <c:v>3029.67</c:v>
                </c:pt>
                <c:pt idx="11">
                  <c:v>4039.22</c:v>
                </c:pt>
                <c:pt idx="12">
                  <c:v>4831.93</c:v>
                </c:pt>
                <c:pt idx="13">
                  <c:v>4841.82</c:v>
                </c:pt>
                <c:pt idx="14">
                  <c:v>4909.54</c:v>
                </c:pt>
                <c:pt idx="15">
                  <c:v>4854.33</c:v>
                </c:pt>
                <c:pt idx="16">
                  <c:v>4894.49</c:v>
                </c:pt>
                <c:pt idx="17">
                  <c:v>4846.33</c:v>
                </c:pt>
                <c:pt idx="18">
                  <c:v>4864.93</c:v>
                </c:pt>
                <c:pt idx="19">
                  <c:v>4981.1499999999996</c:v>
                </c:pt>
                <c:pt idx="20">
                  <c:v>4968.1400000000003</c:v>
                </c:pt>
                <c:pt idx="21">
                  <c:v>4867.9799999999996</c:v>
                </c:pt>
                <c:pt idx="22" formatCode="0.00">
                  <c:v>4898.2</c:v>
                </c:pt>
                <c:pt idx="23">
                  <c:v>4978.8500000000004</c:v>
                </c:pt>
                <c:pt idx="24">
                  <c:v>4932.38</c:v>
                </c:pt>
                <c:pt idx="25">
                  <c:v>4917.32</c:v>
                </c:pt>
                <c:pt idx="26">
                  <c:v>4995.8599999999997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3-4677-8D1D-518F994F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13744"/>
        <c:axId val="776914224"/>
      </c:scatterChart>
      <c:valAx>
        <c:axId val="7769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4224"/>
        <c:crosses val="autoZero"/>
        <c:crossBetween val="midCat"/>
      </c:valAx>
      <c:valAx>
        <c:axId val="7769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</a:t>
                </a: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'Blade design'!$S$1</c:f>
              <c:strCache>
                <c:ptCount val="1"/>
                <c:pt idx="0">
                  <c:v>Bending moment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design'!$S$3:$S$20</c:f>
              <c:numCache>
                <c:formatCode>0.00000_);[Red]\(0.00000\)</c:formatCode>
                <c:ptCount val="18"/>
                <c:pt idx="0">
                  <c:v>8927.4500000000007</c:v>
                </c:pt>
                <c:pt idx="1">
                  <c:v>8189.2</c:v>
                </c:pt>
                <c:pt idx="2">
                  <c:v>7461.64</c:v>
                </c:pt>
                <c:pt idx="3">
                  <c:v>6572.29</c:v>
                </c:pt>
                <c:pt idx="4">
                  <c:v>5588.84</c:v>
                </c:pt>
                <c:pt idx="5">
                  <c:v>4688.21</c:v>
                </c:pt>
                <c:pt idx="6">
                  <c:v>3851.68</c:v>
                </c:pt>
                <c:pt idx="7">
                  <c:v>3084.64</c:v>
                </c:pt>
                <c:pt idx="8">
                  <c:v>2392.4899999999998</c:v>
                </c:pt>
                <c:pt idx="9">
                  <c:v>1780.32</c:v>
                </c:pt>
                <c:pt idx="10">
                  <c:v>1254.96</c:v>
                </c:pt>
                <c:pt idx="11">
                  <c:v>821.053</c:v>
                </c:pt>
                <c:pt idx="12">
                  <c:v>479.053</c:v>
                </c:pt>
                <c:pt idx="13">
                  <c:v>228.59899999999999</c:v>
                </c:pt>
                <c:pt idx="14">
                  <c:v>88.604100000000003</c:v>
                </c:pt>
                <c:pt idx="15">
                  <c:v>24.621300000000002</c:v>
                </c:pt>
                <c:pt idx="16">
                  <c:v>1.21929</c:v>
                </c:pt>
                <c:pt idx="17">
                  <c:v>7.1024900000000003E-6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2-48B6-A266-3D99D1DD0DB5}"/>
            </c:ext>
          </c:extLst>
        </c:ser>
        <c:ser>
          <c:idx val="1"/>
          <c:order val="1"/>
          <c:tx>
            <c:strRef>
              <c:f>'Blade design'!$T$1</c:f>
              <c:strCache>
                <c:ptCount val="1"/>
                <c:pt idx="0">
                  <c:v>Design 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design'!$T$3:$T$20</c:f>
              <c:numCache>
                <c:formatCode>0.00000_);[Red]\(0.00000\)</c:formatCode>
                <c:ptCount val="18"/>
                <c:pt idx="0">
                  <c:v>13391.175000000001</c:v>
                </c:pt>
                <c:pt idx="1">
                  <c:v>12283.8</c:v>
                </c:pt>
                <c:pt idx="2">
                  <c:v>11192.460000000001</c:v>
                </c:pt>
                <c:pt idx="3">
                  <c:v>9858.4349999999995</c:v>
                </c:pt>
                <c:pt idx="4">
                  <c:v>8383.26</c:v>
                </c:pt>
                <c:pt idx="5">
                  <c:v>7032.3150000000005</c:v>
                </c:pt>
                <c:pt idx="6">
                  <c:v>5777.5199999999995</c:v>
                </c:pt>
                <c:pt idx="7">
                  <c:v>4626.96</c:v>
                </c:pt>
                <c:pt idx="8">
                  <c:v>3588.7349999999997</c:v>
                </c:pt>
                <c:pt idx="9">
                  <c:v>2670.48</c:v>
                </c:pt>
                <c:pt idx="10">
                  <c:v>1882.44</c:v>
                </c:pt>
                <c:pt idx="11">
                  <c:v>1231.5795000000001</c:v>
                </c:pt>
                <c:pt idx="12">
                  <c:v>718.57950000000005</c:v>
                </c:pt>
                <c:pt idx="13">
                  <c:v>342.89850000000001</c:v>
                </c:pt>
                <c:pt idx="14">
                  <c:v>132.90615</c:v>
                </c:pt>
                <c:pt idx="15">
                  <c:v>36.931950000000001</c:v>
                </c:pt>
                <c:pt idx="16">
                  <c:v>1.828935</c:v>
                </c:pt>
                <c:pt idx="17">
                  <c:v>1.0653735E-5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2-48B6-A266-3D99D1DD0DB5}"/>
            </c:ext>
          </c:extLst>
        </c:ser>
        <c:ser>
          <c:idx val="2"/>
          <c:order val="2"/>
          <c:tx>
            <c:strRef>
              <c:f>'Blade design'!$U$1</c:f>
              <c:strCache>
                <c:ptCount val="1"/>
                <c:pt idx="0">
                  <c:v>Proof Load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design'!$U$3:$U$20</c:f>
              <c:numCache>
                <c:formatCode>0.00000_);[Red]\(0.00000\)</c:formatCode>
                <c:ptCount val="18"/>
                <c:pt idx="0">
                  <c:v>16203.321750000001</c:v>
                </c:pt>
                <c:pt idx="1">
                  <c:v>14863.397999999999</c:v>
                </c:pt>
                <c:pt idx="2">
                  <c:v>13542.876600000001</c:v>
                </c:pt>
                <c:pt idx="3">
                  <c:v>11928.706349999999</c:v>
                </c:pt>
                <c:pt idx="4">
                  <c:v>10143.7446</c:v>
                </c:pt>
                <c:pt idx="5">
                  <c:v>8509.1011500000004</c:v>
                </c:pt>
                <c:pt idx="6">
                  <c:v>6990.7991999999995</c:v>
                </c:pt>
                <c:pt idx="7">
                  <c:v>5598.6215999999995</c:v>
                </c:pt>
                <c:pt idx="8">
                  <c:v>4342.369349999999</c:v>
                </c:pt>
                <c:pt idx="9">
                  <c:v>3231.2808</c:v>
                </c:pt>
                <c:pt idx="10">
                  <c:v>2277.7523999999999</c:v>
                </c:pt>
                <c:pt idx="11">
                  <c:v>1490.2111950000001</c:v>
                </c:pt>
                <c:pt idx="12">
                  <c:v>869.48119500000007</c:v>
                </c:pt>
                <c:pt idx="13">
                  <c:v>414.90718500000003</c:v>
                </c:pt>
                <c:pt idx="14">
                  <c:v>160.8164415</c:v>
                </c:pt>
                <c:pt idx="15">
                  <c:v>44.687659500000002</c:v>
                </c:pt>
                <c:pt idx="16">
                  <c:v>2.2130113499999999</c:v>
                </c:pt>
                <c:pt idx="17">
                  <c:v>1.289101935E-5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2-48B6-A266-3D99D1DD0DB5}"/>
            </c:ext>
          </c:extLst>
        </c:ser>
        <c:ser>
          <c:idx val="3"/>
          <c:order val="3"/>
          <c:tx>
            <c:strRef>
              <c:f>'Blade design'!$V$1</c:f>
              <c:strCache>
                <c:ptCount val="1"/>
                <c:pt idx="0">
                  <c:v>Calculated Bending moment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'Blade design'!$R$3:$R$20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design'!$V$3:$V$20</c:f>
              <c:numCache>
                <c:formatCode>General</c:formatCode>
                <c:ptCount val="18"/>
                <c:pt idx="0">
                  <c:v>7487.8724453191353</c:v>
                </c:pt>
                <c:pt idx="1">
                  <c:v>7124.3925491494656</c:v>
                </c:pt>
                <c:pt idx="2">
                  <c:v>6639.9601087283554</c:v>
                </c:pt>
                <c:pt idx="3">
                  <c:v>6095.637037491786</c:v>
                </c:pt>
                <c:pt idx="4">
                  <c:v>5432.021493408578</c:v>
                </c:pt>
                <c:pt idx="5">
                  <c:v>4722.4383461346852</c:v>
                </c:pt>
                <c:pt idx="6">
                  <c:v>4035.4889648794206</c:v>
                </c:pt>
                <c:pt idx="7">
                  <c:v>3376.9301361028247</c:v>
                </c:pt>
                <c:pt idx="8">
                  <c:v>2753.1461908225506</c:v>
                </c:pt>
                <c:pt idx="9">
                  <c:v>2172.3137747535675</c:v>
                </c:pt>
                <c:pt idx="10">
                  <c:v>1641.9050872102575</c:v>
                </c:pt>
                <c:pt idx="11">
                  <c:v>1171.1914348622006</c:v>
                </c:pt>
                <c:pt idx="12">
                  <c:v>769.10878352581972</c:v>
                </c:pt>
                <c:pt idx="13">
                  <c:v>440.42734559547279</c:v>
                </c:pt>
                <c:pt idx="14">
                  <c:v>212.99318261575129</c:v>
                </c:pt>
                <c:pt idx="15">
                  <c:v>100.57325879097601</c:v>
                </c:pt>
                <c:pt idx="16">
                  <c:v>25.525808888560146</c:v>
                </c:pt>
                <c:pt idx="17">
                  <c:v>2.3327830392455589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2-48B6-A266-3D99D1DD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58928"/>
        <c:axId val="729068528"/>
      </c:scatterChart>
      <c:valAx>
        <c:axId val="7290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068528"/>
        <c:crosses val="autoZero"/>
        <c:crossBetween val="midCat"/>
      </c:valAx>
      <c:valAx>
        <c:axId val="7290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0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rotational speed vs wind speed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8039693636094"/>
          <c:y val="0.12984750788593097"/>
          <c:w val="0.83013446626712573"/>
          <c:h val="0.7147019996069095"/>
        </c:manualLayout>
      </c:layout>
      <c:scatterChart>
        <c:scatterStyle val="line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Curves!$A$24:$A$50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11.78312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Curves!$H$24:$H$50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">
                  <c:v>0.34841277606951543</c:v>
                </c:pt>
                <c:pt idx="4" formatCode="0.000000">
                  <c:v>0.46455036809268729</c:v>
                </c:pt>
                <c:pt idx="5" formatCode="0.000000">
                  <c:v>0.58068796011585899</c:v>
                </c:pt>
                <c:pt idx="6" formatCode="0.000000">
                  <c:v>0.69682555213903086</c:v>
                </c:pt>
                <c:pt idx="7" formatCode="0.000000">
                  <c:v>0.81296314416220272</c:v>
                </c:pt>
                <c:pt idx="8" formatCode="0.000000">
                  <c:v>0.92910073618537459</c:v>
                </c:pt>
                <c:pt idx="9" formatCode="0.000000">
                  <c:v>1.0452383282085465</c:v>
                </c:pt>
                <c:pt idx="10" formatCode="0.000000">
                  <c:v>1.161375920231718</c:v>
                </c:pt>
                <c:pt idx="11" formatCode="0.000000">
                  <c:v>1.27751351225489</c:v>
                </c:pt>
                <c:pt idx="12" formatCode="0.000000">
                  <c:v>1.3684631833200762</c:v>
                </c:pt>
                <c:pt idx="13" formatCode="0.000000">
                  <c:v>1.3684631833200762</c:v>
                </c:pt>
                <c:pt idx="14" formatCode="0.000000">
                  <c:v>1.3684631833200762</c:v>
                </c:pt>
                <c:pt idx="15" formatCode="0.000000">
                  <c:v>1.3684631833200762</c:v>
                </c:pt>
                <c:pt idx="16" formatCode="0.000000">
                  <c:v>1.3684631833200762</c:v>
                </c:pt>
                <c:pt idx="17" formatCode="0.000000">
                  <c:v>1.3684631833200762</c:v>
                </c:pt>
                <c:pt idx="18" formatCode="0.000000">
                  <c:v>1.3684631833200762</c:v>
                </c:pt>
                <c:pt idx="19" formatCode="0.000000">
                  <c:v>1.3684631833200762</c:v>
                </c:pt>
                <c:pt idx="20" formatCode="0.000000">
                  <c:v>1.3684631833200762</c:v>
                </c:pt>
                <c:pt idx="21" formatCode="0.000000">
                  <c:v>1.3684631833200762</c:v>
                </c:pt>
                <c:pt idx="22" formatCode="0.000000">
                  <c:v>1.3684631833200762</c:v>
                </c:pt>
                <c:pt idx="23" formatCode="0.000000">
                  <c:v>1.3684631833200762</c:v>
                </c:pt>
                <c:pt idx="24" formatCode="0.000000">
                  <c:v>1.3684631833200762</c:v>
                </c:pt>
                <c:pt idx="25" formatCode="0.000000">
                  <c:v>1.3684631833200762</c:v>
                </c:pt>
                <c:pt idx="26" formatCode="0.000000">
                  <c:v>1.3684631833200762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2-4920-8185-4DA24B16AFF0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Curves!$D$62:$D$88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0.78961732233121928</c:v>
                </c:pt>
                <c:pt idx="4">
                  <c:v>0.81244622894730512</c:v>
                </c:pt>
                <c:pt idx="5">
                  <c:v>0.84703830565598248</c:v>
                </c:pt>
                <c:pt idx="6">
                  <c:v>0.89221859680480853</c:v>
                </c:pt>
                <c:pt idx="7">
                  <c:v>0.94603617335590395</c:v>
                </c:pt>
                <c:pt idx="8">
                  <c:v>1.0105372593243072</c:v>
                </c:pt>
                <c:pt idx="9">
                  <c:v>1.1300413494717605</c:v>
                </c:pt>
                <c:pt idx="10">
                  <c:v>1.2552128727662899</c:v>
                </c:pt>
                <c:pt idx="11">
                  <c:v>1.3391352845191853</c:v>
                </c:pt>
                <c:pt idx="12">
                  <c:v>1.3573984098120537</c:v>
                </c:pt>
                <c:pt idx="13">
                  <c:v>1.3717554882389593</c:v>
                </c:pt>
                <c:pt idx="14">
                  <c:v>1.3725408864023565</c:v>
                </c:pt>
                <c:pt idx="15">
                  <c:v>1.3733053406147304</c:v>
                </c:pt>
                <c:pt idx="16">
                  <c:v>1.372760797888108</c:v>
                </c:pt>
                <c:pt idx="17">
                  <c:v>1.3714832168756481</c:v>
                </c:pt>
                <c:pt idx="18">
                  <c:v>1.3701323320346044</c:v>
                </c:pt>
                <c:pt idx="19">
                  <c:v>1.3731063730800028</c:v>
                </c:pt>
                <c:pt idx="20">
                  <c:v>1.3726770220840123</c:v>
                </c:pt>
                <c:pt idx="21">
                  <c:v>1.3697134530141259</c:v>
                </c:pt>
                <c:pt idx="22">
                  <c:v>1.3693050459691594</c:v>
                </c:pt>
                <c:pt idx="23">
                  <c:v>1.3698495886957813</c:v>
                </c:pt>
                <c:pt idx="24">
                  <c:v>1.3691479663364798</c:v>
                </c:pt>
                <c:pt idx="25">
                  <c:v>1.368708143364977</c:v>
                </c:pt>
                <c:pt idx="26">
                  <c:v>1.3702370517897242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2-4920-8185-4DA24B16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35232"/>
        <c:axId val="784336192"/>
      </c:scatterChart>
      <c:valAx>
        <c:axId val="784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36192"/>
        <c:crosses val="autoZero"/>
        <c:crossBetween val="midCat"/>
      </c:valAx>
      <c:valAx>
        <c:axId val="784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</a:t>
                </a:r>
                <a:r>
                  <a:rPr lang="en-GB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 vs wind</a:t>
            </a:r>
            <a:r>
              <a:rPr lang="en-GB" baseline="0"/>
              <a:t> speed</a:t>
            </a:r>
            <a:r>
              <a:rPr lang="en-GB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792577562639848"/>
          <c:w val="0.80786286089238857"/>
          <c:h val="0.65300906632478239"/>
        </c:manualLayout>
      </c:layout>
      <c:scatterChart>
        <c:scatterStyle val="line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Curves!$A$24:$A$50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11.78312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Curves!$J$24:$J$50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236.85856602417559</c:v>
                </c:pt>
                <c:pt idx="4">
                  <c:v>421.08189515408992</c:v>
                </c:pt>
                <c:pt idx="5">
                  <c:v>657.94046117826565</c:v>
                </c:pt>
                <c:pt idx="6">
                  <c:v>947.43426409670235</c:v>
                </c:pt>
                <c:pt idx="7">
                  <c:v>1289.5633039094002</c:v>
                </c:pt>
                <c:pt idx="8">
                  <c:v>1684.3275806163597</c:v>
                </c:pt>
                <c:pt idx="9">
                  <c:v>2131.7270942175801</c:v>
                </c:pt>
                <c:pt idx="10">
                  <c:v>2631.7618447130626</c:v>
                </c:pt>
                <c:pt idx="11">
                  <c:v>3184.4318321028054</c:v>
                </c:pt>
                <c:pt idx="12">
                  <c:v>3288.3602970467891</c:v>
                </c:pt>
                <c:pt idx="13">
                  <c:v>3288.3602970467891</c:v>
                </c:pt>
                <c:pt idx="14">
                  <c:v>3288.3602970467891</c:v>
                </c:pt>
                <c:pt idx="15">
                  <c:v>3288.3602970467891</c:v>
                </c:pt>
                <c:pt idx="16">
                  <c:v>3288.3602970467891</c:v>
                </c:pt>
                <c:pt idx="17">
                  <c:v>3288.3602970467891</c:v>
                </c:pt>
                <c:pt idx="18">
                  <c:v>3288.3602970467891</c:v>
                </c:pt>
                <c:pt idx="19">
                  <c:v>3288.3602970467891</c:v>
                </c:pt>
                <c:pt idx="20">
                  <c:v>3288.3602970467891</c:v>
                </c:pt>
                <c:pt idx="21">
                  <c:v>3288.3602970467891</c:v>
                </c:pt>
                <c:pt idx="22">
                  <c:v>3288.3602970467891</c:v>
                </c:pt>
                <c:pt idx="23">
                  <c:v>3288.3602970467891</c:v>
                </c:pt>
                <c:pt idx="24">
                  <c:v>3288.3602970467891</c:v>
                </c:pt>
                <c:pt idx="25">
                  <c:v>3288.3602970467891</c:v>
                </c:pt>
                <c:pt idx="26">
                  <c:v>3288.3602970467891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ACB-8B5D-E575663D2515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Curves!$F$62:$F$88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52.427799999999998</c:v>
                </c:pt>
                <c:pt idx="4">
                  <c:v>209.36600000000001</c:v>
                </c:pt>
                <c:pt idx="5">
                  <c:v>405.65899999999999</c:v>
                </c:pt>
                <c:pt idx="6">
                  <c:v>719.43600000000004</c:v>
                </c:pt>
                <c:pt idx="7">
                  <c:v>1093.55</c:v>
                </c:pt>
                <c:pt idx="8">
                  <c:v>1540.61</c:v>
                </c:pt>
                <c:pt idx="9">
                  <c:v>1955.03</c:v>
                </c:pt>
                <c:pt idx="10">
                  <c:v>2413.67</c:v>
                </c:pt>
                <c:pt idx="11">
                  <c:v>3016.29</c:v>
                </c:pt>
                <c:pt idx="12">
                  <c:v>3559.71</c:v>
                </c:pt>
                <c:pt idx="13">
                  <c:v>3529.66</c:v>
                </c:pt>
                <c:pt idx="14">
                  <c:v>3576.98</c:v>
                </c:pt>
                <c:pt idx="15">
                  <c:v>3534.77</c:v>
                </c:pt>
                <c:pt idx="16">
                  <c:v>3565.43</c:v>
                </c:pt>
                <c:pt idx="17">
                  <c:v>3533.63</c:v>
                </c:pt>
                <c:pt idx="18" formatCode="0.00">
                  <c:v>3550.7</c:v>
                </c:pt>
                <c:pt idx="19">
                  <c:v>3627.64</c:v>
                </c:pt>
                <c:pt idx="20" formatCode="0.00">
                  <c:v>3619.3</c:v>
                </c:pt>
                <c:pt idx="21" formatCode="0.00">
                  <c:v>3554</c:v>
                </c:pt>
                <c:pt idx="22">
                  <c:v>3577.14</c:v>
                </c:pt>
                <c:pt idx="23">
                  <c:v>3634.58</c:v>
                </c:pt>
                <c:pt idx="24">
                  <c:v>3602.51</c:v>
                </c:pt>
                <c:pt idx="25">
                  <c:v>3592.68</c:v>
                </c:pt>
                <c:pt idx="26">
                  <c:v>3645.99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1-4ACB-8B5D-E575663D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38352"/>
        <c:axId val="337939312"/>
      </c:scatterChart>
      <c:valAx>
        <c:axId val="3379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9312"/>
        <c:crosses val="autoZero"/>
        <c:crossBetween val="midCat"/>
      </c:valAx>
      <c:valAx>
        <c:axId val="3379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kNm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Blade Pitch Angle vs wind speed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pitch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Curves!$E$62:$E$88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1.8085199999999999</c:v>
                </c:pt>
                <c:pt idx="14">
                  <c:v>5.29305</c:v>
                </c:pt>
                <c:pt idx="15">
                  <c:v>7.6628800000000004</c:v>
                </c:pt>
                <c:pt idx="16">
                  <c:v>9.61111</c:v>
                </c:pt>
                <c:pt idx="17">
                  <c:v>11.3508</c:v>
                </c:pt>
                <c:pt idx="18">
                  <c:v>12.9207</c:v>
                </c:pt>
                <c:pt idx="19">
                  <c:v>14.3909</c:v>
                </c:pt>
                <c:pt idx="20">
                  <c:v>15.790100000000001</c:v>
                </c:pt>
                <c:pt idx="21">
                  <c:v>17.136199999999999</c:v>
                </c:pt>
                <c:pt idx="22">
                  <c:v>18.6906</c:v>
                </c:pt>
                <c:pt idx="23">
                  <c:v>19.6066</c:v>
                </c:pt>
                <c:pt idx="24">
                  <c:v>20.794499999999999</c:v>
                </c:pt>
                <c:pt idx="25">
                  <c:v>21.900500000000001</c:v>
                </c:pt>
                <c:pt idx="26">
                  <c:v>23.023700000000002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C-4E7B-8785-D89F33C1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66736"/>
        <c:axId val="595467216"/>
      </c:scatterChart>
      <c:valAx>
        <c:axId val="5954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67216"/>
        <c:crosses val="autoZero"/>
        <c:crossBetween val="midCat"/>
      </c:valAx>
      <c:valAx>
        <c:axId val="5954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Blade pitch angle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baseline="0">
                <a:effectLst/>
              </a:rPr>
              <a:t>Torque vs ratational speed curve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Curves!$C$62:$C$88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7.5402899999999997</c:v>
                </c:pt>
                <c:pt idx="4">
                  <c:v>7.7582899999999997</c:v>
                </c:pt>
                <c:pt idx="5">
                  <c:v>8.0886200000000006</c:v>
                </c:pt>
                <c:pt idx="6">
                  <c:v>8.5200600000000009</c:v>
                </c:pt>
                <c:pt idx="7">
                  <c:v>9.0339799999999997</c:v>
                </c:pt>
                <c:pt idx="8">
                  <c:v>9.6499199999999998</c:v>
                </c:pt>
                <c:pt idx="9">
                  <c:v>10.7911</c:v>
                </c:pt>
                <c:pt idx="10">
                  <c:v>11.9864</c:v>
                </c:pt>
                <c:pt idx="11">
                  <c:v>12.787800000000001</c:v>
                </c:pt>
                <c:pt idx="12">
                  <c:v>12.962199999999999</c:v>
                </c:pt>
                <c:pt idx="13">
                  <c:v>13.099299999999999</c:v>
                </c:pt>
                <c:pt idx="14">
                  <c:v>13.1068</c:v>
                </c:pt>
                <c:pt idx="15">
                  <c:v>13.114100000000001</c:v>
                </c:pt>
                <c:pt idx="16">
                  <c:v>13.1089</c:v>
                </c:pt>
                <c:pt idx="17">
                  <c:v>13.0967</c:v>
                </c:pt>
                <c:pt idx="18">
                  <c:v>13.0838</c:v>
                </c:pt>
                <c:pt idx="19">
                  <c:v>13.1122</c:v>
                </c:pt>
                <c:pt idx="20">
                  <c:v>13.1081</c:v>
                </c:pt>
                <c:pt idx="21">
                  <c:v>13.079800000000001</c:v>
                </c:pt>
                <c:pt idx="22">
                  <c:v>13.075900000000001</c:v>
                </c:pt>
                <c:pt idx="23">
                  <c:v>13.081099999999999</c:v>
                </c:pt>
                <c:pt idx="24">
                  <c:v>13.074400000000001</c:v>
                </c:pt>
                <c:pt idx="25">
                  <c:v>13.0702</c:v>
                </c:pt>
                <c:pt idx="26">
                  <c:v>13.0848</c:v>
                </c:pt>
              </c:numCache>
            </c:numRef>
          </c:xVal>
          <c:yVal>
            <c:numRef>
              <c:f>Curves!$F$62:$F$88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52.427799999999998</c:v>
                </c:pt>
                <c:pt idx="4">
                  <c:v>209.36600000000001</c:v>
                </c:pt>
                <c:pt idx="5">
                  <c:v>405.65899999999999</c:v>
                </c:pt>
                <c:pt idx="6">
                  <c:v>719.43600000000004</c:v>
                </c:pt>
                <c:pt idx="7">
                  <c:v>1093.55</c:v>
                </c:pt>
                <c:pt idx="8">
                  <c:v>1540.61</c:v>
                </c:pt>
                <c:pt idx="9">
                  <c:v>1955.03</c:v>
                </c:pt>
                <c:pt idx="10">
                  <c:v>2413.67</c:v>
                </c:pt>
                <c:pt idx="11">
                  <c:v>3016.29</c:v>
                </c:pt>
                <c:pt idx="12">
                  <c:v>3559.71</c:v>
                </c:pt>
                <c:pt idx="13">
                  <c:v>3529.66</c:v>
                </c:pt>
                <c:pt idx="14">
                  <c:v>3576.98</c:v>
                </c:pt>
                <c:pt idx="15">
                  <c:v>3534.77</c:v>
                </c:pt>
                <c:pt idx="16">
                  <c:v>3565.43</c:v>
                </c:pt>
                <c:pt idx="17">
                  <c:v>3533.63</c:v>
                </c:pt>
                <c:pt idx="18" formatCode="0.00">
                  <c:v>3550.7</c:v>
                </c:pt>
                <c:pt idx="19">
                  <c:v>3627.64</c:v>
                </c:pt>
                <c:pt idx="20" formatCode="0.00">
                  <c:v>3619.3</c:v>
                </c:pt>
                <c:pt idx="21" formatCode="0.00">
                  <c:v>3554</c:v>
                </c:pt>
                <c:pt idx="22">
                  <c:v>3577.14</c:v>
                </c:pt>
                <c:pt idx="23">
                  <c:v>3634.58</c:v>
                </c:pt>
                <c:pt idx="24">
                  <c:v>3602.51</c:v>
                </c:pt>
                <c:pt idx="25">
                  <c:v>3592.68</c:v>
                </c:pt>
                <c:pt idx="26">
                  <c:v>3645.99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1B0-B8E3-B9C2BAB8EEAC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Curves!$I$24:$I$50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3.3270969328699804</c:v>
                </c:pt>
                <c:pt idx="4">
                  <c:v>4.4361292438266409</c:v>
                </c:pt>
                <c:pt idx="5">
                  <c:v>5.5451615547832995</c:v>
                </c:pt>
                <c:pt idx="6">
                  <c:v>6.6541938657399609</c:v>
                </c:pt>
                <c:pt idx="7">
                  <c:v>7.7632261766966213</c:v>
                </c:pt>
                <c:pt idx="8">
                  <c:v>8.8722584876532817</c:v>
                </c:pt>
                <c:pt idx="9">
                  <c:v>9.9812907986099422</c:v>
                </c:pt>
                <c:pt idx="10">
                  <c:v>11.090323109566599</c:v>
                </c:pt>
                <c:pt idx="11">
                  <c:v>12.199355420523259</c:v>
                </c:pt>
                <c:pt idx="12">
                  <c:v>13.06786080387964</c:v>
                </c:pt>
                <c:pt idx="13">
                  <c:v>13.06786080387964</c:v>
                </c:pt>
                <c:pt idx="14">
                  <c:v>13.06786080387964</c:v>
                </c:pt>
                <c:pt idx="15">
                  <c:v>13.06786080387964</c:v>
                </c:pt>
                <c:pt idx="16">
                  <c:v>13.06786080387964</c:v>
                </c:pt>
                <c:pt idx="17">
                  <c:v>13.06786080387964</c:v>
                </c:pt>
                <c:pt idx="18">
                  <c:v>13.06786080387964</c:v>
                </c:pt>
                <c:pt idx="19">
                  <c:v>13.06786080387964</c:v>
                </c:pt>
                <c:pt idx="20">
                  <c:v>13.06786080387964</c:v>
                </c:pt>
                <c:pt idx="21">
                  <c:v>13.06786080387964</c:v>
                </c:pt>
                <c:pt idx="22">
                  <c:v>13.06786080387964</c:v>
                </c:pt>
                <c:pt idx="23">
                  <c:v>13.06786080387964</c:v>
                </c:pt>
                <c:pt idx="24">
                  <c:v>13.06786080387964</c:v>
                </c:pt>
                <c:pt idx="25">
                  <c:v>13.06786080387964</c:v>
                </c:pt>
                <c:pt idx="26">
                  <c:v>13.06786080387964</c:v>
                </c:pt>
              </c:numCache>
            </c:numRef>
          </c:xVal>
          <c:yVal>
            <c:numRef>
              <c:f>Curves!$J$24:$J$50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236.85856602417559</c:v>
                </c:pt>
                <c:pt idx="4">
                  <c:v>421.08189515408992</c:v>
                </c:pt>
                <c:pt idx="5">
                  <c:v>657.94046117826565</c:v>
                </c:pt>
                <c:pt idx="6">
                  <c:v>947.43426409670235</c:v>
                </c:pt>
                <c:pt idx="7">
                  <c:v>1289.5633039094002</c:v>
                </c:pt>
                <c:pt idx="8">
                  <c:v>1684.3275806163597</c:v>
                </c:pt>
                <c:pt idx="9">
                  <c:v>2131.7270942175801</c:v>
                </c:pt>
                <c:pt idx="10">
                  <c:v>2631.7618447130626</c:v>
                </c:pt>
                <c:pt idx="11">
                  <c:v>3184.4318321028054</c:v>
                </c:pt>
                <c:pt idx="12">
                  <c:v>3288.3602970467891</c:v>
                </c:pt>
                <c:pt idx="13">
                  <c:v>3288.3602970467891</c:v>
                </c:pt>
                <c:pt idx="14">
                  <c:v>3288.3602970467891</c:v>
                </c:pt>
                <c:pt idx="15">
                  <c:v>3288.3602970467891</c:v>
                </c:pt>
                <c:pt idx="16">
                  <c:v>3288.3602970467891</c:v>
                </c:pt>
                <c:pt idx="17">
                  <c:v>3288.3602970467891</c:v>
                </c:pt>
                <c:pt idx="18">
                  <c:v>3288.3602970467891</c:v>
                </c:pt>
                <c:pt idx="19">
                  <c:v>3288.3602970467891</c:v>
                </c:pt>
                <c:pt idx="20">
                  <c:v>3288.3602970467891</c:v>
                </c:pt>
                <c:pt idx="21">
                  <c:v>3288.3602970467891</c:v>
                </c:pt>
                <c:pt idx="22">
                  <c:v>3288.3602970467891</c:v>
                </c:pt>
                <c:pt idx="23">
                  <c:v>3288.3602970467891</c:v>
                </c:pt>
                <c:pt idx="24">
                  <c:v>3288.3602970467891</c:v>
                </c:pt>
                <c:pt idx="25">
                  <c:v>3288.3602970467891</c:v>
                </c:pt>
                <c:pt idx="26">
                  <c:v>3288.3602970467891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4-41B0-B8E3-B9C2BAB8E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47871"/>
        <c:axId val="1489448831"/>
      </c:scatterChart>
      <c:valAx>
        <c:axId val="14894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baseline="0">
                    <a:effectLst/>
                  </a:rPr>
                  <a:t>ratational speed rpm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448831"/>
        <c:crosses val="autoZero"/>
        <c:crossBetween val="midCat"/>
      </c:valAx>
      <c:valAx>
        <c:axId val="14894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baseline="0">
                    <a:effectLst/>
                  </a:rPr>
                  <a:t>Torque kNm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4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coefficient vs tip</a:t>
            </a:r>
            <a:r>
              <a:rPr lang="en-US" altLang="zh-CN" baseline="0"/>
              <a:t> speed ratio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Curves!$G$24:$G$50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">
                  <c:v>6.6196389411293444</c:v>
                </c:pt>
                <c:pt idx="4" formatCode="0.00000">
                  <c:v>6.6196389411293444</c:v>
                </c:pt>
                <c:pt idx="5" formatCode="0.00000">
                  <c:v>6.6196389411293444</c:v>
                </c:pt>
                <c:pt idx="6" formatCode="0.00000">
                  <c:v>6.6196389411293444</c:v>
                </c:pt>
                <c:pt idx="7" formatCode="0.00000">
                  <c:v>6.6196389411293444</c:v>
                </c:pt>
                <c:pt idx="8" formatCode="0.00000">
                  <c:v>6.6196389411293444</c:v>
                </c:pt>
                <c:pt idx="9" formatCode="0.00000">
                  <c:v>6.6196389411293444</c:v>
                </c:pt>
                <c:pt idx="10" formatCode="0.00000">
                  <c:v>6.6196389411293444</c:v>
                </c:pt>
                <c:pt idx="11" formatCode="0.00000">
                  <c:v>6.6196389411293444</c:v>
                </c:pt>
                <c:pt idx="12" formatCode="0.00000">
                  <c:v>6.6196389411293444</c:v>
                </c:pt>
                <c:pt idx="13" formatCode="0.00000">
                  <c:v>6.5</c:v>
                </c:pt>
                <c:pt idx="14" formatCode="0.00000">
                  <c:v>6</c:v>
                </c:pt>
                <c:pt idx="15" formatCode="0.00000">
                  <c:v>5.5714285714285712</c:v>
                </c:pt>
                <c:pt idx="16" formatCode="0.00000">
                  <c:v>5.2</c:v>
                </c:pt>
                <c:pt idx="17" formatCode="0.00000">
                  <c:v>4.875</c:v>
                </c:pt>
                <c:pt idx="18" formatCode="0.00000">
                  <c:v>4.5882352941176467</c:v>
                </c:pt>
                <c:pt idx="19" formatCode="0.00000">
                  <c:v>4.333333333333333</c:v>
                </c:pt>
                <c:pt idx="20" formatCode="0.00000">
                  <c:v>4.1052631578947372</c:v>
                </c:pt>
                <c:pt idx="21" formatCode="0.00000">
                  <c:v>3.9</c:v>
                </c:pt>
                <c:pt idx="22" formatCode="0.00000">
                  <c:v>3.7142857142857144</c:v>
                </c:pt>
                <c:pt idx="23" formatCode="0.00000">
                  <c:v>3.5454545454545454</c:v>
                </c:pt>
                <c:pt idx="24" formatCode="0.00000">
                  <c:v>3.3913043478260869</c:v>
                </c:pt>
                <c:pt idx="25" formatCode="0.00000">
                  <c:v>3.25</c:v>
                </c:pt>
                <c:pt idx="26" formatCode="0.00000">
                  <c:v>3.12</c:v>
                </c:pt>
              </c:numCache>
            </c:numRef>
          </c:xVal>
          <c:yVal>
            <c:numRef>
              <c:f>Curves!$F$24:$F$50</c:f>
              <c:numCache>
                <c:formatCode>General</c:formatCode>
                <c:ptCount val="27"/>
                <c:pt idx="3">
                  <c:v>0.48892300000000005</c:v>
                </c:pt>
                <c:pt idx="4">
                  <c:v>0.48892300000000005</c:v>
                </c:pt>
                <c:pt idx="5">
                  <c:v>0.48892300000000005</c:v>
                </c:pt>
                <c:pt idx="6">
                  <c:v>0.48892300000000005</c:v>
                </c:pt>
                <c:pt idx="7">
                  <c:v>0.488923</c:v>
                </c:pt>
                <c:pt idx="8">
                  <c:v>0.48892300000000005</c:v>
                </c:pt>
                <c:pt idx="9">
                  <c:v>0.488923</c:v>
                </c:pt>
                <c:pt idx="10">
                  <c:v>0.48892300000000005</c:v>
                </c:pt>
                <c:pt idx="11">
                  <c:v>0.48892300000000005</c:v>
                </c:pt>
                <c:pt idx="12">
                  <c:v>0.44</c:v>
                </c:pt>
                <c:pt idx="13">
                  <c:v>0.41657177432751724</c:v>
                </c:pt>
                <c:pt idx="14">
                  <c:v>0.32764498226579414</c:v>
                </c:pt>
                <c:pt idx="15">
                  <c:v>0.26233091327913621</c:v>
                </c:pt>
                <c:pt idx="16">
                  <c:v>0.21328474845568879</c:v>
                </c:pt>
                <c:pt idx="17">
                  <c:v>0.17574121729442133</c:v>
                </c:pt>
                <c:pt idx="18">
                  <c:v>0.14651659394218394</c:v>
                </c:pt>
                <c:pt idx="19">
                  <c:v>0.12342867387481991</c:v>
                </c:pt>
                <c:pt idx="20">
                  <c:v>0.1049476638049205</c:v>
                </c:pt>
                <c:pt idx="21">
                  <c:v>8.9979503254743715E-2</c:v>
                </c:pt>
                <c:pt idx="22">
                  <c:v>7.772767800863295E-2</c:v>
                </c:pt>
                <c:pt idx="23">
                  <c:v>6.7602932573060645E-2</c:v>
                </c:pt>
                <c:pt idx="24">
                  <c:v>5.9162983976160911E-2</c:v>
                </c:pt>
                <c:pt idx="25">
                  <c:v>5.2071471790939655E-2</c:v>
                </c:pt>
                <c:pt idx="26">
                  <c:v>4.6069505666428784E-2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0-4CEE-86F2-6430E970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57327"/>
        <c:axId val="1221960687"/>
      </c:scatterChart>
      <c:valAx>
        <c:axId val="12219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tip speed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60687"/>
        <c:crosses val="autoZero"/>
        <c:crossBetween val="midCat"/>
      </c:valAx>
      <c:valAx>
        <c:axId val="12219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coefficient 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kW</a:t>
            </a:r>
            <a:r>
              <a:rPr lang="en-US" altLang="zh-CN" baseline="0"/>
              <a:t> vs £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Cost!$A$47:$A$51</c:f>
              <c:numCache>
                <c:formatCode>General</c:formatCode>
                <c:ptCount val="5"/>
                <c:pt idx="0">
                  <c:v>100</c:v>
                </c:pt>
                <c:pt idx="1">
                  <c:v>800</c:v>
                </c:pt>
                <c:pt idx="2">
                  <c:v>1000</c:v>
                </c:pt>
                <c:pt idx="3">
                  <c:v>3000</c:v>
                </c:pt>
                <c:pt idx="4">
                  <c:v>3500</c:v>
                </c:pt>
              </c:numCache>
            </c:numRef>
          </c:xVal>
          <c:yVal>
            <c:numRef>
              <c:f>Cost!$E$47:$E$51</c:f>
              <c:numCache>
                <c:formatCode>General</c:formatCode>
                <c:ptCount val="5"/>
                <c:pt idx="0">
                  <c:v>279450</c:v>
                </c:pt>
                <c:pt idx="1">
                  <c:v>710699.99999999988</c:v>
                </c:pt>
                <c:pt idx="2">
                  <c:v>862499.99999999988</c:v>
                </c:pt>
                <c:pt idx="3">
                  <c:v>1607699.9999999998</c:v>
                </c:pt>
                <c:pt idx="4">
                  <c:v>2159700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3-4D1D-9E96-F2E92257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26847"/>
        <c:axId val="408225407"/>
      </c:scatterChart>
      <c:valAx>
        <c:axId val="4082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output kW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5407"/>
        <c:crosses val="autoZero"/>
        <c:crossBetween val="midCat"/>
      </c:valAx>
      <c:valAx>
        <c:axId val="408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 cost £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'cp-lambda data from Ashes'!$B$1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'cp-lambda data from Ashes'!$A$2:$A$163</c:f>
              <c:numCache>
                <c:formatCode>General</c:formatCode>
                <c:ptCount val="16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</c:v>
                </c:pt>
              </c:numCache>
            </c:numRef>
          </c:xVal>
          <c:yVal>
            <c:numRef>
              <c:f>'cp-lambda data from Ashes'!$B$2:$B$163</c:f>
              <c:numCache>
                <c:formatCode>General</c:formatCode>
                <c:ptCount val="162"/>
                <c:pt idx="0">
                  <c:v>5.2612600000000002E-3</c:v>
                </c:pt>
                <c:pt idx="1">
                  <c:v>5.9703500000000001E-3</c:v>
                </c:pt>
                <c:pt idx="2">
                  <c:v>6.7232100000000003E-3</c:v>
                </c:pt>
                <c:pt idx="3">
                  <c:v>7.5297200000000002E-3</c:v>
                </c:pt>
                <c:pt idx="4">
                  <c:v>8.4312899999999993E-3</c:v>
                </c:pt>
                <c:pt idx="5">
                  <c:v>9.5484899999999998E-3</c:v>
                </c:pt>
                <c:pt idx="6">
                  <c:v>1.10414E-2</c:v>
                </c:pt>
                <c:pt idx="7">
                  <c:v>1.3060199999999999E-2</c:v>
                </c:pt>
                <c:pt idx="8">
                  <c:v>1.5698799999999999E-2</c:v>
                </c:pt>
                <c:pt idx="9">
                  <c:v>1.8998999999999999E-2</c:v>
                </c:pt>
                <c:pt idx="10">
                  <c:v>2.29497E-2</c:v>
                </c:pt>
                <c:pt idx="11">
                  <c:v>2.7627100000000002E-2</c:v>
                </c:pt>
                <c:pt idx="12">
                  <c:v>3.3129100000000002E-2</c:v>
                </c:pt>
                <c:pt idx="13">
                  <c:v>3.9562300000000002E-2</c:v>
                </c:pt>
                <c:pt idx="14">
                  <c:v>4.6881800000000001E-2</c:v>
                </c:pt>
                <c:pt idx="15">
                  <c:v>5.4889100000000003E-2</c:v>
                </c:pt>
                <c:pt idx="16">
                  <c:v>6.3545299999999999E-2</c:v>
                </c:pt>
                <c:pt idx="17">
                  <c:v>7.2629299999999994E-2</c:v>
                </c:pt>
                <c:pt idx="18">
                  <c:v>8.2089999999999996E-2</c:v>
                </c:pt>
                <c:pt idx="19">
                  <c:v>9.1826599999999994E-2</c:v>
                </c:pt>
                <c:pt idx="20">
                  <c:v>0.101738</c:v>
                </c:pt>
                <c:pt idx="21">
                  <c:v>0.111862</c:v>
                </c:pt>
                <c:pt idx="22">
                  <c:v>0.122112</c:v>
                </c:pt>
                <c:pt idx="23">
                  <c:v>0.13256200000000001</c:v>
                </c:pt>
                <c:pt idx="24">
                  <c:v>0.14337800000000001</c:v>
                </c:pt>
                <c:pt idx="25">
                  <c:v>0.15459000000000001</c:v>
                </c:pt>
                <c:pt idx="26">
                  <c:v>0.16614399999999999</c:v>
                </c:pt>
                <c:pt idx="27">
                  <c:v>0.17793400000000001</c:v>
                </c:pt>
                <c:pt idx="28">
                  <c:v>0.18995799999999999</c:v>
                </c:pt>
                <c:pt idx="29">
                  <c:v>0.202268</c:v>
                </c:pt>
                <c:pt idx="30">
                  <c:v>0.21495900000000001</c:v>
                </c:pt>
                <c:pt idx="31">
                  <c:v>0.227992</c:v>
                </c:pt>
                <c:pt idx="32">
                  <c:v>0.24148500000000001</c:v>
                </c:pt>
                <c:pt idx="33">
                  <c:v>0.25525399999999998</c:v>
                </c:pt>
                <c:pt idx="34">
                  <c:v>0.26937499999999998</c:v>
                </c:pt>
                <c:pt idx="35">
                  <c:v>0.28376499999999999</c:v>
                </c:pt>
                <c:pt idx="36">
                  <c:v>0.29807099999999997</c:v>
                </c:pt>
                <c:pt idx="37">
                  <c:v>0.31236999999999998</c:v>
                </c:pt>
                <c:pt idx="38">
                  <c:v>0.326125</c:v>
                </c:pt>
                <c:pt idx="39">
                  <c:v>0.34029700000000002</c:v>
                </c:pt>
                <c:pt idx="40">
                  <c:v>0.35500199999999998</c:v>
                </c:pt>
                <c:pt idx="41">
                  <c:v>0.36887399999999998</c:v>
                </c:pt>
                <c:pt idx="42">
                  <c:v>0.382328</c:v>
                </c:pt>
                <c:pt idx="43">
                  <c:v>0.39364100000000002</c:v>
                </c:pt>
                <c:pt idx="44">
                  <c:v>0.40389700000000001</c:v>
                </c:pt>
                <c:pt idx="45">
                  <c:v>0.41188799999999998</c:v>
                </c:pt>
                <c:pt idx="46">
                  <c:v>0.41883999999999999</c:v>
                </c:pt>
                <c:pt idx="47">
                  <c:v>0.42499700000000001</c:v>
                </c:pt>
                <c:pt idx="48">
                  <c:v>0.43066599999999999</c:v>
                </c:pt>
                <c:pt idx="49">
                  <c:v>0.43608200000000003</c:v>
                </c:pt>
                <c:pt idx="50">
                  <c:v>0.44122800000000001</c:v>
                </c:pt>
                <c:pt idx="51">
                  <c:v>0.44605499999999998</c:v>
                </c:pt>
                <c:pt idx="52">
                  <c:v>0.45062200000000002</c:v>
                </c:pt>
                <c:pt idx="53">
                  <c:v>0.45490999999999998</c:v>
                </c:pt>
                <c:pt idx="54">
                  <c:v>0.45894099999999999</c:v>
                </c:pt>
                <c:pt idx="55">
                  <c:v>0.46284199999999998</c:v>
                </c:pt>
                <c:pt idx="56">
                  <c:v>0.46658100000000002</c:v>
                </c:pt>
                <c:pt idx="57">
                  <c:v>0.47014899999999998</c:v>
                </c:pt>
                <c:pt idx="58">
                  <c:v>0.473522</c:v>
                </c:pt>
                <c:pt idx="59">
                  <c:v>0.476657</c:v>
                </c:pt>
                <c:pt idx="60">
                  <c:v>0.479433</c:v>
                </c:pt>
                <c:pt idx="61">
                  <c:v>0.48164600000000002</c:v>
                </c:pt>
                <c:pt idx="62">
                  <c:v>0.483265</c:v>
                </c:pt>
                <c:pt idx="63">
                  <c:v>0.48453600000000002</c:v>
                </c:pt>
                <c:pt idx="64">
                  <c:v>0.48562699999999998</c:v>
                </c:pt>
                <c:pt idx="65">
                  <c:v>0.48653200000000002</c:v>
                </c:pt>
                <c:pt idx="66">
                  <c:v>0.48729899999999998</c:v>
                </c:pt>
                <c:pt idx="67">
                  <c:v>0.48789700000000003</c:v>
                </c:pt>
                <c:pt idx="68">
                  <c:v>0.48836600000000002</c:v>
                </c:pt>
                <c:pt idx="69">
                  <c:v>0.48869000000000001</c:v>
                </c:pt>
                <c:pt idx="70">
                  <c:v>0.48888999999999999</c:v>
                </c:pt>
                <c:pt idx="71">
                  <c:v>0.488923</c:v>
                </c:pt>
                <c:pt idx="72">
                  <c:v>0.48882500000000001</c:v>
                </c:pt>
                <c:pt idx="73">
                  <c:v>0.48863400000000001</c:v>
                </c:pt>
                <c:pt idx="74">
                  <c:v>0.48832300000000001</c:v>
                </c:pt>
                <c:pt idx="75">
                  <c:v>0.48789199999999999</c:v>
                </c:pt>
                <c:pt idx="76">
                  <c:v>0.48733300000000002</c:v>
                </c:pt>
                <c:pt idx="77">
                  <c:v>0.48664600000000002</c:v>
                </c:pt>
                <c:pt idx="78">
                  <c:v>0.48582799999999998</c:v>
                </c:pt>
                <c:pt idx="79">
                  <c:v>0.48487799999999998</c:v>
                </c:pt>
                <c:pt idx="80">
                  <c:v>0.48379499999999998</c:v>
                </c:pt>
                <c:pt idx="81">
                  <c:v>0.48258299999999998</c:v>
                </c:pt>
                <c:pt idx="82">
                  <c:v>0.48124099999999997</c:v>
                </c:pt>
                <c:pt idx="83">
                  <c:v>0.479771</c:v>
                </c:pt>
                <c:pt idx="84">
                  <c:v>0.47817300000000001</c:v>
                </c:pt>
                <c:pt idx="85">
                  <c:v>0.47645300000000002</c:v>
                </c:pt>
                <c:pt idx="86">
                  <c:v>0.47462199999999999</c:v>
                </c:pt>
                <c:pt idx="87">
                  <c:v>0.472686</c:v>
                </c:pt>
                <c:pt idx="88">
                  <c:v>0.47064699999999998</c:v>
                </c:pt>
                <c:pt idx="89">
                  <c:v>0.46850799999999998</c:v>
                </c:pt>
                <c:pt idx="90">
                  <c:v>0.46626200000000001</c:v>
                </c:pt>
                <c:pt idx="91">
                  <c:v>0.463916</c:v>
                </c:pt>
                <c:pt idx="92">
                  <c:v>0.46146399999999999</c:v>
                </c:pt>
                <c:pt idx="93">
                  <c:v>0.45890199999999998</c:v>
                </c:pt>
                <c:pt idx="94">
                  <c:v>0.456233</c:v>
                </c:pt>
                <c:pt idx="95">
                  <c:v>0.45345600000000003</c:v>
                </c:pt>
                <c:pt idx="96">
                  <c:v>0.45057599999999998</c:v>
                </c:pt>
                <c:pt idx="97">
                  <c:v>0.44758700000000001</c:v>
                </c:pt>
                <c:pt idx="98">
                  <c:v>0.444492</c:v>
                </c:pt>
                <c:pt idx="99">
                  <c:v>0.44129400000000002</c:v>
                </c:pt>
                <c:pt idx="100">
                  <c:v>0.437998</c:v>
                </c:pt>
                <c:pt idx="101">
                  <c:v>0.43460199999999999</c:v>
                </c:pt>
                <c:pt idx="102">
                  <c:v>0.43110700000000002</c:v>
                </c:pt>
                <c:pt idx="103">
                  <c:v>0.42751099999999997</c:v>
                </c:pt>
                <c:pt idx="104">
                  <c:v>0.42381400000000002</c:v>
                </c:pt>
                <c:pt idx="105">
                  <c:v>0.42002299999999998</c:v>
                </c:pt>
                <c:pt idx="106">
                  <c:v>0.416128</c:v>
                </c:pt>
                <c:pt idx="107">
                  <c:v>0.41212799999999999</c:v>
                </c:pt>
                <c:pt idx="108">
                  <c:v>0.40802500000000003</c:v>
                </c:pt>
                <c:pt idx="109">
                  <c:v>0.403831</c:v>
                </c:pt>
                <c:pt idx="110">
                  <c:v>0.39954699999999999</c:v>
                </c:pt>
                <c:pt idx="111">
                  <c:v>0.39517400000000003</c:v>
                </c:pt>
                <c:pt idx="112">
                  <c:v>0.39071</c:v>
                </c:pt>
                <c:pt idx="113">
                  <c:v>0.386158</c:v>
                </c:pt>
                <c:pt idx="114">
                  <c:v>0.38152000000000003</c:v>
                </c:pt>
                <c:pt idx="115">
                  <c:v>0.37679800000000002</c:v>
                </c:pt>
                <c:pt idx="116">
                  <c:v>0.372002</c:v>
                </c:pt>
                <c:pt idx="117">
                  <c:v>0.36713000000000001</c:v>
                </c:pt>
                <c:pt idx="118">
                  <c:v>0.362178</c:v>
                </c:pt>
                <c:pt idx="119">
                  <c:v>0.35714299999999999</c:v>
                </c:pt>
                <c:pt idx="120">
                  <c:v>0.35202099999999997</c:v>
                </c:pt>
                <c:pt idx="121">
                  <c:v>0.34681099999999998</c:v>
                </c:pt>
                <c:pt idx="122">
                  <c:v>0.34151799999999999</c:v>
                </c:pt>
                <c:pt idx="123">
                  <c:v>0.33614300000000003</c:v>
                </c:pt>
                <c:pt idx="124">
                  <c:v>0.33068500000000001</c:v>
                </c:pt>
                <c:pt idx="125">
                  <c:v>0.32514500000000002</c:v>
                </c:pt>
                <c:pt idx="126">
                  <c:v>0.31952399999999997</c:v>
                </c:pt>
                <c:pt idx="127">
                  <c:v>0.31382399999999999</c:v>
                </c:pt>
                <c:pt idx="128">
                  <c:v>0.30804599999999999</c:v>
                </c:pt>
                <c:pt idx="129">
                  <c:v>0.30219099999999999</c:v>
                </c:pt>
                <c:pt idx="130">
                  <c:v>0.29626000000000002</c:v>
                </c:pt>
                <c:pt idx="131">
                  <c:v>0.29025299999999998</c:v>
                </c:pt>
                <c:pt idx="132">
                  <c:v>0.28416999999999998</c:v>
                </c:pt>
                <c:pt idx="133">
                  <c:v>0.27801100000000001</c:v>
                </c:pt>
                <c:pt idx="134">
                  <c:v>0.27177499999999999</c:v>
                </c:pt>
                <c:pt idx="135">
                  <c:v>0.26546399999999998</c:v>
                </c:pt>
                <c:pt idx="136">
                  <c:v>0.25907799999999997</c:v>
                </c:pt>
                <c:pt idx="137">
                  <c:v>0.25261499999999998</c:v>
                </c:pt>
                <c:pt idx="138">
                  <c:v>0.246056</c:v>
                </c:pt>
                <c:pt idx="139">
                  <c:v>0.23941499999999999</c:v>
                </c:pt>
                <c:pt idx="140">
                  <c:v>0.23269500000000001</c:v>
                </c:pt>
                <c:pt idx="141">
                  <c:v>0.225886</c:v>
                </c:pt>
                <c:pt idx="142">
                  <c:v>0.21898899999999999</c:v>
                </c:pt>
                <c:pt idx="143">
                  <c:v>0.21198500000000001</c:v>
                </c:pt>
                <c:pt idx="144">
                  <c:v>0.20489499999999999</c:v>
                </c:pt>
                <c:pt idx="145">
                  <c:v>0.197711</c:v>
                </c:pt>
                <c:pt idx="146">
                  <c:v>0.19043599999999999</c:v>
                </c:pt>
                <c:pt idx="147">
                  <c:v>0.18307799999999999</c:v>
                </c:pt>
                <c:pt idx="148">
                  <c:v>0.17563500000000001</c:v>
                </c:pt>
                <c:pt idx="149">
                  <c:v>0.16810800000000001</c:v>
                </c:pt>
                <c:pt idx="150">
                  <c:v>0.160495</c:v>
                </c:pt>
                <c:pt idx="151">
                  <c:v>0.15279499999999999</c:v>
                </c:pt>
                <c:pt idx="152">
                  <c:v>0.145006</c:v>
                </c:pt>
                <c:pt idx="153">
                  <c:v>0.13711599999999999</c:v>
                </c:pt>
                <c:pt idx="154">
                  <c:v>0.12912100000000001</c:v>
                </c:pt>
                <c:pt idx="155">
                  <c:v>0.121034</c:v>
                </c:pt>
                <c:pt idx="156">
                  <c:v>0.112856</c:v>
                </c:pt>
                <c:pt idx="157">
                  <c:v>0.104575</c:v>
                </c:pt>
                <c:pt idx="158">
                  <c:v>9.6200900000000006E-2</c:v>
                </c:pt>
                <c:pt idx="159">
                  <c:v>8.7725499999999998E-2</c:v>
                </c:pt>
                <c:pt idx="160">
                  <c:v>7.9153200000000007E-2</c:v>
                </c:pt>
                <c:pt idx="161">
                  <c:v>7.9153200000000007E-2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7-4B03-B94C-9348AFDA75EA}"/>
            </c:ext>
          </c:extLst>
        </c:ser>
        <c:ser>
          <c:idx val="1"/>
          <c:order val="1"/>
          <c:tx>
            <c:strRef>
              <c:f>'cp-lambda data from Ashes'!$C$1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'cp-lambda data from Ashes'!$A$2:$A$163</c:f>
              <c:numCache>
                <c:formatCode>General</c:formatCode>
                <c:ptCount val="16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</c:v>
                </c:pt>
              </c:numCache>
            </c:numRef>
          </c:xVal>
          <c:yVal>
            <c:numRef>
              <c:f>'cp-lambda data from Ashes'!$C$2:$C$163</c:f>
              <c:numCache>
                <c:formatCode>General</c:formatCode>
                <c:ptCount val="162"/>
                <c:pt idx="0">
                  <c:v>7.8909400000000005E-2</c:v>
                </c:pt>
                <c:pt idx="1">
                  <c:v>8.1710500000000005E-2</c:v>
                </c:pt>
                <c:pt idx="2">
                  <c:v>8.4661799999999995E-2</c:v>
                </c:pt>
                <c:pt idx="3">
                  <c:v>8.7736400000000006E-2</c:v>
                </c:pt>
                <c:pt idx="4">
                  <c:v>9.09972E-2</c:v>
                </c:pt>
                <c:pt idx="5">
                  <c:v>9.4575300000000001E-2</c:v>
                </c:pt>
                <c:pt idx="6">
                  <c:v>9.8634700000000006E-2</c:v>
                </c:pt>
                <c:pt idx="7">
                  <c:v>0.103329</c:v>
                </c:pt>
                <c:pt idx="8">
                  <c:v>0.108776</c:v>
                </c:pt>
                <c:pt idx="9">
                  <c:v>0.115032</c:v>
                </c:pt>
                <c:pt idx="10">
                  <c:v>0.12206400000000001</c:v>
                </c:pt>
                <c:pt idx="11">
                  <c:v>0.12995100000000001</c:v>
                </c:pt>
                <c:pt idx="12">
                  <c:v>0.13872399999999999</c:v>
                </c:pt>
                <c:pt idx="13">
                  <c:v>0.14844199999999999</c:v>
                </c:pt>
                <c:pt idx="14">
                  <c:v>0.15898899999999999</c:v>
                </c:pt>
                <c:pt idx="15">
                  <c:v>0.17013500000000001</c:v>
                </c:pt>
                <c:pt idx="16">
                  <c:v>0.18178</c:v>
                </c:pt>
                <c:pt idx="17">
                  <c:v>0.19367699999999999</c:v>
                </c:pt>
                <c:pt idx="18">
                  <c:v>0.205761</c:v>
                </c:pt>
                <c:pt idx="19">
                  <c:v>0.21795</c:v>
                </c:pt>
                <c:pt idx="20">
                  <c:v>0.23016500000000001</c:v>
                </c:pt>
                <c:pt idx="21">
                  <c:v>0.242455</c:v>
                </c:pt>
                <c:pt idx="22">
                  <c:v>0.25475599999999998</c:v>
                </c:pt>
                <c:pt idx="23">
                  <c:v>0.267154</c:v>
                </c:pt>
                <c:pt idx="24">
                  <c:v>0.27984799999999999</c:v>
                </c:pt>
                <c:pt idx="25">
                  <c:v>0.292798</c:v>
                </c:pt>
                <c:pt idx="26">
                  <c:v>0.30595</c:v>
                </c:pt>
                <c:pt idx="27">
                  <c:v>0.31916099999999997</c:v>
                </c:pt>
                <c:pt idx="28">
                  <c:v>0.33239299999999999</c:v>
                </c:pt>
                <c:pt idx="29">
                  <c:v>0.34569800000000001</c:v>
                </c:pt>
                <c:pt idx="30">
                  <c:v>0.35915399999999997</c:v>
                </c:pt>
                <c:pt idx="31">
                  <c:v>0.37262699999999999</c:v>
                </c:pt>
                <c:pt idx="32">
                  <c:v>0.38625199999999998</c:v>
                </c:pt>
                <c:pt idx="33">
                  <c:v>0.39989799999999998</c:v>
                </c:pt>
                <c:pt idx="34">
                  <c:v>0.41370200000000001</c:v>
                </c:pt>
                <c:pt idx="35">
                  <c:v>0.42773099999999997</c:v>
                </c:pt>
                <c:pt idx="36">
                  <c:v>0.44188100000000002</c:v>
                </c:pt>
                <c:pt idx="37">
                  <c:v>0.45669500000000002</c:v>
                </c:pt>
                <c:pt idx="38">
                  <c:v>0.47223599999999999</c:v>
                </c:pt>
                <c:pt idx="39">
                  <c:v>0.48966799999999999</c:v>
                </c:pt>
                <c:pt idx="40">
                  <c:v>0.50892199999999999</c:v>
                </c:pt>
                <c:pt idx="41">
                  <c:v>0.52801100000000001</c:v>
                </c:pt>
                <c:pt idx="42">
                  <c:v>0.54691100000000004</c:v>
                </c:pt>
                <c:pt idx="43">
                  <c:v>0.56354499999999996</c:v>
                </c:pt>
                <c:pt idx="44">
                  <c:v>0.57921100000000003</c:v>
                </c:pt>
                <c:pt idx="45">
                  <c:v>0.59267899999999996</c:v>
                </c:pt>
                <c:pt idx="46">
                  <c:v>0.60515699999999994</c:v>
                </c:pt>
                <c:pt idx="47">
                  <c:v>0.61699199999999998</c:v>
                </c:pt>
                <c:pt idx="48">
                  <c:v>0.62840300000000004</c:v>
                </c:pt>
                <c:pt idx="49">
                  <c:v>0.63953000000000004</c:v>
                </c:pt>
                <c:pt idx="50">
                  <c:v>0.65034800000000004</c:v>
                </c:pt>
                <c:pt idx="51">
                  <c:v>0.66081800000000002</c:v>
                </c:pt>
                <c:pt idx="52">
                  <c:v>0.67099200000000003</c:v>
                </c:pt>
                <c:pt idx="53">
                  <c:v>0.680894</c:v>
                </c:pt>
                <c:pt idx="54">
                  <c:v>0.690415</c:v>
                </c:pt>
                <c:pt idx="55">
                  <c:v>0.69961300000000004</c:v>
                </c:pt>
                <c:pt idx="56">
                  <c:v>0.70839799999999997</c:v>
                </c:pt>
                <c:pt idx="57">
                  <c:v>0.71700200000000003</c:v>
                </c:pt>
                <c:pt idx="58">
                  <c:v>0.72545499999999996</c:v>
                </c:pt>
                <c:pt idx="59">
                  <c:v>0.733765</c:v>
                </c:pt>
                <c:pt idx="60">
                  <c:v>0.74184799999999995</c:v>
                </c:pt>
                <c:pt idx="61">
                  <c:v>0.74950399999999995</c:v>
                </c:pt>
                <c:pt idx="62">
                  <c:v>0.75678800000000002</c:v>
                </c:pt>
                <c:pt idx="63">
                  <c:v>0.76379200000000003</c:v>
                </c:pt>
                <c:pt idx="64">
                  <c:v>0.77066599999999996</c:v>
                </c:pt>
                <c:pt idx="65">
                  <c:v>0.77739000000000003</c:v>
                </c:pt>
                <c:pt idx="66">
                  <c:v>0.78395999999999999</c:v>
                </c:pt>
                <c:pt idx="67">
                  <c:v>0.79032899999999995</c:v>
                </c:pt>
                <c:pt idx="68">
                  <c:v>0.79654700000000001</c:v>
                </c:pt>
                <c:pt idx="69">
                  <c:v>0.80268300000000004</c:v>
                </c:pt>
                <c:pt idx="70">
                  <c:v>0.80876300000000001</c:v>
                </c:pt>
                <c:pt idx="71">
                  <c:v>0.81473600000000002</c:v>
                </c:pt>
                <c:pt idx="72">
                  <c:v>0.82064000000000004</c:v>
                </c:pt>
                <c:pt idx="73">
                  <c:v>0.82650299999999999</c:v>
                </c:pt>
                <c:pt idx="74">
                  <c:v>0.83230400000000004</c:v>
                </c:pt>
                <c:pt idx="75">
                  <c:v>0.83803700000000003</c:v>
                </c:pt>
                <c:pt idx="76">
                  <c:v>0.84370199999999995</c:v>
                </c:pt>
                <c:pt idx="77">
                  <c:v>0.84928999999999999</c:v>
                </c:pt>
                <c:pt idx="78">
                  <c:v>0.85479700000000003</c:v>
                </c:pt>
                <c:pt idx="79">
                  <c:v>0.86022200000000004</c:v>
                </c:pt>
                <c:pt idx="80">
                  <c:v>0.86556999999999995</c:v>
                </c:pt>
                <c:pt idx="81">
                  <c:v>0.87085400000000002</c:v>
                </c:pt>
                <c:pt idx="82">
                  <c:v>0.87606899999999999</c:v>
                </c:pt>
                <c:pt idx="83">
                  <c:v>0.88122500000000004</c:v>
                </c:pt>
                <c:pt idx="84">
                  <c:v>0.88632599999999995</c:v>
                </c:pt>
                <c:pt idx="85">
                  <c:v>0.89137900000000003</c:v>
                </c:pt>
                <c:pt idx="86">
                  <c:v>0.89637800000000001</c:v>
                </c:pt>
                <c:pt idx="87">
                  <c:v>0.90132800000000002</c:v>
                </c:pt>
                <c:pt idx="88">
                  <c:v>0.90622400000000003</c:v>
                </c:pt>
                <c:pt idx="89">
                  <c:v>0.91106100000000001</c:v>
                </c:pt>
                <c:pt idx="90">
                  <c:v>0.91583099999999995</c:v>
                </c:pt>
                <c:pt idx="91">
                  <c:v>0.920539</c:v>
                </c:pt>
                <c:pt idx="92">
                  <c:v>0.92518500000000004</c:v>
                </c:pt>
                <c:pt idx="93">
                  <c:v>0.92976800000000004</c:v>
                </c:pt>
                <c:pt idx="94">
                  <c:v>0.93429300000000004</c:v>
                </c:pt>
                <c:pt idx="95">
                  <c:v>0.93876700000000002</c:v>
                </c:pt>
                <c:pt idx="96">
                  <c:v>0.94319500000000001</c:v>
                </c:pt>
                <c:pt idx="97">
                  <c:v>0.94757800000000003</c:v>
                </c:pt>
                <c:pt idx="98">
                  <c:v>0.95191599999999998</c:v>
                </c:pt>
                <c:pt idx="99">
                  <c:v>0.95621599999999995</c:v>
                </c:pt>
                <c:pt idx="100">
                  <c:v>0.96046699999999996</c:v>
                </c:pt>
                <c:pt idx="101">
                  <c:v>0.96467199999999997</c:v>
                </c:pt>
                <c:pt idx="102">
                  <c:v>0.96882999999999997</c:v>
                </c:pt>
                <c:pt idx="103">
                  <c:v>0.97293700000000005</c:v>
                </c:pt>
                <c:pt idx="104">
                  <c:v>0.97699100000000005</c:v>
                </c:pt>
                <c:pt idx="105">
                  <c:v>0.98099400000000003</c:v>
                </c:pt>
                <c:pt idx="106">
                  <c:v>0.98494400000000004</c:v>
                </c:pt>
                <c:pt idx="107">
                  <c:v>0.98884700000000003</c:v>
                </c:pt>
                <c:pt idx="108">
                  <c:v>0.99270700000000001</c:v>
                </c:pt>
                <c:pt idx="109">
                  <c:v>0.99653199999999997</c:v>
                </c:pt>
                <c:pt idx="110">
                  <c:v>1.0003200000000001</c:v>
                </c:pt>
                <c:pt idx="111">
                  <c:v>1.0040800000000001</c:v>
                </c:pt>
                <c:pt idx="112">
                  <c:v>1.0078100000000001</c:v>
                </c:pt>
                <c:pt idx="113">
                  <c:v>1.0115000000000001</c:v>
                </c:pt>
                <c:pt idx="114">
                  <c:v>1.0151699999999999</c:v>
                </c:pt>
                <c:pt idx="115">
                  <c:v>1.01881</c:v>
                </c:pt>
                <c:pt idx="116">
                  <c:v>1.0224200000000001</c:v>
                </c:pt>
                <c:pt idx="117">
                  <c:v>1.026</c:v>
                </c:pt>
                <c:pt idx="118">
                  <c:v>1.02955</c:v>
                </c:pt>
                <c:pt idx="119">
                  <c:v>1.0330699999999999</c:v>
                </c:pt>
                <c:pt idx="120">
                  <c:v>1.03657</c:v>
                </c:pt>
                <c:pt idx="121">
                  <c:v>1.0400400000000001</c:v>
                </c:pt>
                <c:pt idx="122">
                  <c:v>1.04348</c:v>
                </c:pt>
                <c:pt idx="123">
                  <c:v>1.0468999999999999</c:v>
                </c:pt>
                <c:pt idx="124">
                  <c:v>1.0503</c:v>
                </c:pt>
                <c:pt idx="125">
                  <c:v>1.0536700000000001</c:v>
                </c:pt>
                <c:pt idx="126">
                  <c:v>1.0570200000000001</c:v>
                </c:pt>
                <c:pt idx="127">
                  <c:v>1.06036</c:v>
                </c:pt>
                <c:pt idx="128">
                  <c:v>1.06369</c:v>
                </c:pt>
                <c:pt idx="129">
                  <c:v>1.0669900000000001</c:v>
                </c:pt>
                <c:pt idx="130">
                  <c:v>1.0702799999999999</c:v>
                </c:pt>
                <c:pt idx="131">
                  <c:v>1.07355</c:v>
                </c:pt>
                <c:pt idx="132">
                  <c:v>1.07681</c:v>
                </c:pt>
                <c:pt idx="133">
                  <c:v>1.08006</c:v>
                </c:pt>
                <c:pt idx="134">
                  <c:v>1.0832999999999999</c:v>
                </c:pt>
                <c:pt idx="135">
                  <c:v>1.08653</c:v>
                </c:pt>
                <c:pt idx="136">
                  <c:v>1.08975</c:v>
                </c:pt>
                <c:pt idx="137">
                  <c:v>1.0929599999999999</c:v>
                </c:pt>
                <c:pt idx="138">
                  <c:v>1.09616</c:v>
                </c:pt>
                <c:pt idx="139">
                  <c:v>1.09934</c:v>
                </c:pt>
                <c:pt idx="140">
                  <c:v>1.1025199999999999</c:v>
                </c:pt>
                <c:pt idx="141">
                  <c:v>1.10568</c:v>
                </c:pt>
                <c:pt idx="142">
                  <c:v>1.10884</c:v>
                </c:pt>
                <c:pt idx="143">
                  <c:v>1.11198</c:v>
                </c:pt>
                <c:pt idx="144">
                  <c:v>1.1151199999999999</c:v>
                </c:pt>
                <c:pt idx="145">
                  <c:v>1.11825</c:v>
                </c:pt>
                <c:pt idx="146">
                  <c:v>1.12137</c:v>
                </c:pt>
                <c:pt idx="147">
                  <c:v>1.12449</c:v>
                </c:pt>
                <c:pt idx="148">
                  <c:v>1.12761</c:v>
                </c:pt>
                <c:pt idx="149">
                  <c:v>1.1307199999999999</c:v>
                </c:pt>
                <c:pt idx="150">
                  <c:v>1.1338200000000001</c:v>
                </c:pt>
                <c:pt idx="151">
                  <c:v>1.1369199999999999</c:v>
                </c:pt>
                <c:pt idx="152">
                  <c:v>1.14001</c:v>
                </c:pt>
                <c:pt idx="153">
                  <c:v>1.1431</c:v>
                </c:pt>
                <c:pt idx="154">
                  <c:v>1.14619</c:v>
                </c:pt>
                <c:pt idx="155">
                  <c:v>1.1492599999999999</c:v>
                </c:pt>
                <c:pt idx="156">
                  <c:v>1.1523399999999999</c:v>
                </c:pt>
                <c:pt idx="157">
                  <c:v>1.15541</c:v>
                </c:pt>
                <c:pt idx="158">
                  <c:v>1.15848</c:v>
                </c:pt>
                <c:pt idx="159">
                  <c:v>1.16154</c:v>
                </c:pt>
                <c:pt idx="160">
                  <c:v>1.1646099999999999</c:v>
                </c:pt>
                <c:pt idx="161">
                  <c:v>1.1646099999999999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7-4B03-B94C-9348AFDA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28336"/>
        <c:axId val="1552508816"/>
      </c:scatterChart>
      <c:valAx>
        <c:axId val="20169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tip speed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08816"/>
        <c:crosses val="autoZero"/>
        <c:crossBetween val="midCat"/>
      </c:valAx>
      <c:valAx>
        <c:axId val="15525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r>
                  <a:rPr lang="en-US" altLang="zh-CN" baseline="0"/>
                  <a:t> of thrust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9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'Blade design'!$L$24:$L$25</c:f>
              <c:strCache>
                <c:ptCount val="2"/>
                <c:pt idx="0">
                  <c:v>Target stress (MPa) CF</c:v>
                </c:pt>
                <c:pt idx="1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'Blade design'!$C$26:$C$43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design'!$I$26:$I$43</c:f>
              <c:numCache>
                <c:formatCode>0.0</c:formatCode>
                <c:ptCount val="18"/>
                <c:pt idx="0">
                  <c:v>48.825043870326169</c:v>
                </c:pt>
                <c:pt idx="1">
                  <c:v>40.869222829901716</c:v>
                </c:pt>
                <c:pt idx="2">
                  <c:v>34.258143629726064</c:v>
                </c:pt>
                <c:pt idx="3">
                  <c:v>73.329310475826489</c:v>
                </c:pt>
                <c:pt idx="4">
                  <c:v>71.141141822787816</c:v>
                </c:pt>
                <c:pt idx="5">
                  <c:v>61.653408787649376</c:v>
                </c:pt>
                <c:pt idx="6">
                  <c:v>63.826328212320846</c:v>
                </c:pt>
                <c:pt idx="7">
                  <c:v>68.07025689217113</c:v>
                </c:pt>
                <c:pt idx="8">
                  <c:v>55.131698500890614</c:v>
                </c:pt>
                <c:pt idx="9">
                  <c:v>54.361868098487811</c:v>
                </c:pt>
                <c:pt idx="10">
                  <c:v>39.523229154058406</c:v>
                </c:pt>
                <c:pt idx="11">
                  <c:v>32.879090804611842</c:v>
                </c:pt>
                <c:pt idx="12">
                  <c:v>19.831612727749064</c:v>
                </c:pt>
                <c:pt idx="13">
                  <c:v>9.9581187007931593</c:v>
                </c:pt>
                <c:pt idx="14">
                  <c:v>4.0793415476075578</c:v>
                </c:pt>
                <c:pt idx="15">
                  <c:v>1.2409578127418495</c:v>
                </c:pt>
                <c:pt idx="16">
                  <c:v>8.9724736556249282E-2</c:v>
                </c:pt>
                <c:pt idx="17">
                  <c:v>5.2225003478053257E-7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C-421E-87C4-3F492AEAA52F}"/>
            </c:ext>
          </c:extLst>
        </c:ser>
        <c:ser>
          <c:idx val="2"/>
          <c:order val="1"/>
          <c:tx>
            <c:strRef>
              <c:f>'Blade design'!$L$47:$L$48</c:f>
              <c:strCache>
                <c:ptCount val="2"/>
                <c:pt idx="0">
                  <c:v>Target stress (MPa) GF+CF</c:v>
                </c:pt>
                <c:pt idx="1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'Blade design'!$C$49:$C$66</c:f>
              <c:numCache>
                <c:formatCode>0.000</c:formatCode>
                <c:ptCount val="18"/>
                <c:pt idx="0">
                  <c:v>1.236</c:v>
                </c:pt>
                <c:pt idx="1">
                  <c:v>3.7090000000000001</c:v>
                </c:pt>
                <c:pt idx="2">
                  <c:v>6.1820000000000004</c:v>
                </c:pt>
                <c:pt idx="3">
                  <c:v>9.2729999999999997</c:v>
                </c:pt>
                <c:pt idx="4">
                  <c:v>12.983000000000001</c:v>
                </c:pt>
                <c:pt idx="5">
                  <c:v>16.692</c:v>
                </c:pt>
                <c:pt idx="6">
                  <c:v>20.401</c:v>
                </c:pt>
                <c:pt idx="7">
                  <c:v>24.111000000000001</c:v>
                </c:pt>
                <c:pt idx="8">
                  <c:v>27.82</c:v>
                </c:pt>
                <c:pt idx="9">
                  <c:v>31.529</c:v>
                </c:pt>
                <c:pt idx="10">
                  <c:v>35.238999999999997</c:v>
                </c:pt>
                <c:pt idx="11">
                  <c:v>38.948</c:v>
                </c:pt>
                <c:pt idx="12">
                  <c:v>42.656999999999996</c:v>
                </c:pt>
                <c:pt idx="13">
                  <c:v>46.366999999999997</c:v>
                </c:pt>
                <c:pt idx="14">
                  <c:v>49.457999999999998</c:v>
                </c:pt>
                <c:pt idx="15">
                  <c:v>51.930999999999997</c:v>
                </c:pt>
                <c:pt idx="16">
                  <c:v>54.404000000000003</c:v>
                </c:pt>
                <c:pt idx="17">
                  <c:v>55.64</c:v>
                </c:pt>
              </c:numCache>
            </c:numRef>
          </c:xVal>
          <c:yVal>
            <c:numRef>
              <c:f>'Blade design'!$I$49:$I$66</c:f>
              <c:numCache>
                <c:formatCode>0.0</c:formatCode>
                <c:ptCount val="18"/>
                <c:pt idx="0">
                  <c:v>83.217166945292561</c:v>
                </c:pt>
                <c:pt idx="1">
                  <c:v>69.270882025803587</c:v>
                </c:pt>
                <c:pt idx="2">
                  <c:v>57.833613103295924</c:v>
                </c:pt>
                <c:pt idx="3">
                  <c:v>132.5134740291644</c:v>
                </c:pt>
                <c:pt idx="4">
                  <c:v>130.04331756106336</c:v>
                </c:pt>
                <c:pt idx="5">
                  <c:v>111.31000828499667</c:v>
                </c:pt>
                <c:pt idx="6">
                  <c:v>119.27498545164636</c:v>
                </c:pt>
                <c:pt idx="7">
                  <c:v>139.12142876865468</c:v>
                </c:pt>
                <c:pt idx="8">
                  <c:v>106.88943305540161</c:v>
                </c:pt>
                <c:pt idx="9">
                  <c:v>116.82780635836932</c:v>
                </c:pt>
                <c:pt idx="10">
                  <c:v>76.25238936944595</c:v>
                </c:pt>
                <c:pt idx="11">
                  <c:v>64.336323559556135</c:v>
                </c:pt>
                <c:pt idx="12">
                  <c:v>35.850569851364256</c:v>
                </c:pt>
                <c:pt idx="13">
                  <c:v>17.240518433004894</c:v>
                </c:pt>
                <c:pt idx="14">
                  <c:v>6.9045982494946969</c:v>
                </c:pt>
                <c:pt idx="15">
                  <c:v>2.0785904734009586</c:v>
                </c:pt>
                <c:pt idx="16">
                  <c:v>0.14961883445054683</c:v>
                </c:pt>
                <c:pt idx="17">
                  <c:v>8.704167354627071E-7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21E-87C4-3F492AEA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29903"/>
        <c:axId val="1284102063"/>
      </c:scatterChart>
      <c:valAx>
        <c:axId val="12841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Radial station</a:t>
                </a:r>
                <a:r>
                  <a:rPr lang="en-US" altLang="zh-CN" baseline="0"/>
                  <a:t> 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02063"/>
        <c:crosses val="autoZero"/>
        <c:crossBetween val="midCat"/>
      </c:valAx>
      <c:valAx>
        <c:axId val="12841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Spar cap</a:t>
                </a:r>
                <a:r>
                  <a:rPr lang="en-US" altLang="zh-CN" baseline="0"/>
                  <a:t> thickness t 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'Foundation design'!$A$4:$A$29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11.78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'Foundation design'!$B$4:$B$29</c:f>
              <c:numCache>
                <c:formatCode>General</c:formatCode>
                <c:ptCount val="26"/>
                <c:pt idx="0">
                  <c:v>8.8652300000000004</c:v>
                </c:pt>
                <c:pt idx="1">
                  <c:v>30.680499999999999</c:v>
                </c:pt>
                <c:pt idx="2">
                  <c:v>63.340899999999998</c:v>
                </c:pt>
                <c:pt idx="3">
                  <c:v>96.855699999999999</c:v>
                </c:pt>
                <c:pt idx="4">
                  <c:v>142.08099999999999</c:v>
                </c:pt>
                <c:pt idx="5">
                  <c:v>189.70099999999999</c:v>
                </c:pt>
                <c:pt idx="6">
                  <c:v>244.37200000000001</c:v>
                </c:pt>
                <c:pt idx="7">
                  <c:v>303.745</c:v>
                </c:pt>
                <c:pt idx="8">
                  <c:v>381.82799999999997</c:v>
                </c:pt>
                <c:pt idx="9">
                  <c:v>469.66300000000001</c:v>
                </c:pt>
                <c:pt idx="10">
                  <c:v>552.39099999999996</c:v>
                </c:pt>
                <c:pt idx="11">
                  <c:v>606.70699999999999</c:v>
                </c:pt>
                <c:pt idx="12">
                  <c:v>551.54700000000003</c:v>
                </c:pt>
                <c:pt idx="13">
                  <c:v>473.57100000000003</c:v>
                </c:pt>
                <c:pt idx="14">
                  <c:v>417.46600000000001</c:v>
                </c:pt>
                <c:pt idx="15">
                  <c:v>384.82900000000001</c:v>
                </c:pt>
                <c:pt idx="16">
                  <c:v>359.69499999999999</c:v>
                </c:pt>
                <c:pt idx="17">
                  <c:v>321.30099999999999</c:v>
                </c:pt>
                <c:pt idx="18">
                  <c:v>291.82900000000001</c:v>
                </c:pt>
                <c:pt idx="19">
                  <c:v>287.38</c:v>
                </c:pt>
                <c:pt idx="20">
                  <c:v>279.64699999999999</c:v>
                </c:pt>
                <c:pt idx="21">
                  <c:v>272.642</c:v>
                </c:pt>
                <c:pt idx="22">
                  <c:v>265.36599999999999</c:v>
                </c:pt>
                <c:pt idx="23">
                  <c:v>255.839</c:v>
                </c:pt>
                <c:pt idx="24">
                  <c:v>237.172</c:v>
                </c:pt>
                <c:pt idx="25">
                  <c:v>229.83699999999999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B-45E9-A115-71FC941C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02528"/>
        <c:axId val="679212128"/>
      </c:scatterChart>
      <c:valAx>
        <c:axId val="6792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 speed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12128"/>
        <c:crosses val="autoZero"/>
        <c:crossBetween val="midCat"/>
      </c:valAx>
      <c:valAx>
        <c:axId val="6792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Thrust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P90 Energy per WT per year (kWh)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'Energy Yield'!$D$2:$D$27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C-44E9-8DF7-6FD728D11B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val>
            <c:numRef>
              <c:f>'Energy Yield'!$F$2:$F$27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39874.493614924701</c:v>
                </c:pt>
                <c:pt idx="4">
                  <c:v>186649.78558896497</c:v>
                </c:pt>
                <c:pt idx="5">
                  <c:v>384987.14916598785</c:v>
                </c:pt>
                <c:pt idx="6">
                  <c:v>673987.38744698116</c:v>
                </c:pt>
                <c:pt idx="7">
                  <c:v>946192.52624036383</c:v>
                </c:pt>
                <c:pt idx="8">
                  <c:v>1161590.8086845085</c:v>
                </c:pt>
                <c:pt idx="9">
                  <c:v>1265500.9350974183</c:v>
                </c:pt>
                <c:pt idx="10">
                  <c:v>1258049.8636753156</c:v>
                </c:pt>
                <c:pt idx="11">
                  <c:v>1150801.8464275803</c:v>
                </c:pt>
                <c:pt idx="12">
                  <c:v>897396.52189653204</c:v>
                </c:pt>
                <c:pt idx="13">
                  <c:v>562003.38578033738</c:v>
                </c:pt>
                <c:pt idx="14">
                  <c:v>326173.25622541213</c:v>
                </c:pt>
                <c:pt idx="15">
                  <c:v>183612.2802478403</c:v>
                </c:pt>
                <c:pt idx="16">
                  <c:v>96610.324273759587</c:v>
                </c:pt>
                <c:pt idx="17">
                  <c:v>49077.109272533904</c:v>
                </c:pt>
                <c:pt idx="18">
                  <c:v>24226.660678905864</c:v>
                </c:pt>
                <c:pt idx="19">
                  <c:v>11103.289764480483</c:v>
                </c:pt>
                <c:pt idx="20">
                  <c:v>4766.1798131904216</c:v>
                </c:pt>
                <c:pt idx="21">
                  <c:v>2003.5913536650071</c:v>
                </c:pt>
                <c:pt idx="22">
                  <c:v>811.59764359342876</c:v>
                </c:pt>
                <c:pt idx="23">
                  <c:v>305.6911381918402</c:v>
                </c:pt>
                <c:pt idx="24">
                  <c:v>110.56585624942247</c:v>
                </c:pt>
                <c:pt idx="25">
                  <c:v>38.894438524417573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C-44E9-8DF7-6FD728D1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5023"/>
        <c:axId val="114258383"/>
      </c:areaChart>
      <c:catAx>
        <c:axId val="11425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</a:t>
                </a:r>
                <a:r>
                  <a:rPr lang="en-US" altLang="zh-CN" baseline="0"/>
                  <a:t> speed m/s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8383"/>
        <c:crosses val="autoZero"/>
        <c:auto val="1"/>
        <c:lblAlgn val="ctr"/>
        <c:lblOffset val="100"/>
        <c:noMultiLvlLbl val="0"/>
      </c:catAx>
      <c:valAx>
        <c:axId val="1142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kWh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vs wind speed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34424079878716"/>
          <c:y val="0.14921265043047563"/>
          <c:w val="0.80931037557925611"/>
          <c:h val="0.67215334745919753"/>
        </c:manualLayout>
      </c:layout>
      <c:scatterChart>
        <c:scatterStyle val="lineMarker"/>
        <c:varyColors val="0"/>
        <c:ser>
          <c:idx val="0"/>
          <c:order val="0"/>
          <c:tx>
            <c:v>calculated 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Curves!$A$24:$A$50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11.78312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Curves!$E$24:$E$50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82.524550524327623</c:v>
                </c:pt>
                <c:pt idx="4">
                  <c:v>195.61374939099883</c:v>
                </c:pt>
                <c:pt idx="5">
                  <c:v>382.05810427929458</c:v>
                </c:pt>
                <c:pt idx="6">
                  <c:v>660.19640419462098</c:v>
                </c:pt>
                <c:pt idx="7">
                  <c:v>1048.3674381423843</c:v>
                </c:pt>
                <c:pt idx="8">
                  <c:v>1564.9099951279907</c:v>
                </c:pt>
                <c:pt idx="9">
                  <c:v>2228.1628641568459</c:v>
                </c:pt>
                <c:pt idx="10">
                  <c:v>3056.4648342343567</c:v>
                </c:pt>
                <c:pt idx="11">
                  <c:v>4068.1546943659287</c:v>
                </c:pt>
                <c:pt idx="12">
                  <c:v>4500</c:v>
                </c:pt>
                <c:pt idx="13">
                  <c:v>4500</c:v>
                </c:pt>
                <c:pt idx="14">
                  <c:v>4500</c:v>
                </c:pt>
                <c:pt idx="15">
                  <c:v>4500</c:v>
                </c:pt>
                <c:pt idx="16">
                  <c:v>4500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4500</c:v>
                </c:pt>
                <c:pt idx="22">
                  <c:v>4500</c:v>
                </c:pt>
                <c:pt idx="23">
                  <c:v>4500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90D-8320-F8A7C6EA901C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Curves!$B$62:$B$88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41.3979</c:v>
                </c:pt>
                <c:pt idx="4">
                  <c:v>170.09899999999999</c:v>
                </c:pt>
                <c:pt idx="5">
                  <c:v>343.608</c:v>
                </c:pt>
                <c:pt idx="6">
                  <c:v>641.89400000000001</c:v>
                </c:pt>
                <c:pt idx="7">
                  <c:v>1034.53</c:v>
                </c:pt>
                <c:pt idx="8">
                  <c:v>1556.85</c:v>
                </c:pt>
                <c:pt idx="9">
                  <c:v>2209.27</c:v>
                </c:pt>
                <c:pt idx="10">
                  <c:v>3029.67</c:v>
                </c:pt>
                <c:pt idx="11">
                  <c:v>4039.22</c:v>
                </c:pt>
                <c:pt idx="12">
                  <c:v>4831.93</c:v>
                </c:pt>
                <c:pt idx="13">
                  <c:v>4841.82</c:v>
                </c:pt>
                <c:pt idx="14">
                  <c:v>4909.54</c:v>
                </c:pt>
                <c:pt idx="15">
                  <c:v>4854.33</c:v>
                </c:pt>
                <c:pt idx="16">
                  <c:v>4894.49</c:v>
                </c:pt>
                <c:pt idx="17">
                  <c:v>4846.33</c:v>
                </c:pt>
                <c:pt idx="18">
                  <c:v>4864.93</c:v>
                </c:pt>
                <c:pt idx="19">
                  <c:v>4981.1499999999996</c:v>
                </c:pt>
                <c:pt idx="20">
                  <c:v>4968.1400000000003</c:v>
                </c:pt>
                <c:pt idx="21">
                  <c:v>4867.9799999999996</c:v>
                </c:pt>
                <c:pt idx="22" formatCode="0.00">
                  <c:v>4898.2</c:v>
                </c:pt>
                <c:pt idx="23">
                  <c:v>4978.8500000000004</c:v>
                </c:pt>
                <c:pt idx="24">
                  <c:v>4932.38</c:v>
                </c:pt>
                <c:pt idx="25">
                  <c:v>4917.32</c:v>
                </c:pt>
                <c:pt idx="26">
                  <c:v>4995.8599999999997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A-490D-8320-F8A7C6EA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13744"/>
        <c:axId val="776914224"/>
      </c:scatterChart>
      <c:valAx>
        <c:axId val="7769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4224"/>
        <c:crosses val="autoZero"/>
        <c:crossBetween val="midCat"/>
      </c:valAx>
      <c:valAx>
        <c:axId val="7769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</a:t>
                </a: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rotational speed vs wind speed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8039693636094"/>
          <c:y val="0.12984750788593097"/>
          <c:w val="0.83013446626712573"/>
          <c:h val="0.7147019996069095"/>
        </c:manualLayout>
      </c:layout>
      <c:scatterChart>
        <c:scatterStyle val="line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Curves!$A$24:$A$50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11.78312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Curves!$H$24:$H$50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">
                  <c:v>0.34841277606951543</c:v>
                </c:pt>
                <c:pt idx="4" formatCode="0.000000">
                  <c:v>0.46455036809268729</c:v>
                </c:pt>
                <c:pt idx="5" formatCode="0.000000">
                  <c:v>0.58068796011585899</c:v>
                </c:pt>
                <c:pt idx="6" formatCode="0.000000">
                  <c:v>0.69682555213903086</c:v>
                </c:pt>
                <c:pt idx="7" formatCode="0.000000">
                  <c:v>0.81296314416220272</c:v>
                </c:pt>
                <c:pt idx="8" formatCode="0.000000">
                  <c:v>0.92910073618537459</c:v>
                </c:pt>
                <c:pt idx="9" formatCode="0.000000">
                  <c:v>1.0452383282085465</c:v>
                </c:pt>
                <c:pt idx="10" formatCode="0.000000">
                  <c:v>1.161375920231718</c:v>
                </c:pt>
                <c:pt idx="11" formatCode="0.000000">
                  <c:v>1.27751351225489</c:v>
                </c:pt>
                <c:pt idx="12" formatCode="0.000000">
                  <c:v>1.3684631833200762</c:v>
                </c:pt>
                <c:pt idx="13" formatCode="0.000000">
                  <c:v>1.3684631833200762</c:v>
                </c:pt>
                <c:pt idx="14" formatCode="0.000000">
                  <c:v>1.3684631833200762</c:v>
                </c:pt>
                <c:pt idx="15" formatCode="0.000000">
                  <c:v>1.3684631833200762</c:v>
                </c:pt>
                <c:pt idx="16" formatCode="0.000000">
                  <c:v>1.3684631833200762</c:v>
                </c:pt>
                <c:pt idx="17" formatCode="0.000000">
                  <c:v>1.3684631833200762</c:v>
                </c:pt>
                <c:pt idx="18" formatCode="0.000000">
                  <c:v>1.3684631833200762</c:v>
                </c:pt>
                <c:pt idx="19" formatCode="0.000000">
                  <c:v>1.3684631833200762</c:v>
                </c:pt>
                <c:pt idx="20" formatCode="0.000000">
                  <c:v>1.3684631833200762</c:v>
                </c:pt>
                <c:pt idx="21" formatCode="0.000000">
                  <c:v>1.3684631833200762</c:v>
                </c:pt>
                <c:pt idx="22" formatCode="0.000000">
                  <c:v>1.3684631833200762</c:v>
                </c:pt>
                <c:pt idx="23" formatCode="0.000000">
                  <c:v>1.3684631833200762</c:v>
                </c:pt>
                <c:pt idx="24" formatCode="0.000000">
                  <c:v>1.3684631833200762</c:v>
                </c:pt>
                <c:pt idx="25" formatCode="0.000000">
                  <c:v>1.3684631833200762</c:v>
                </c:pt>
                <c:pt idx="26" formatCode="0.000000">
                  <c:v>1.3684631833200762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E-4102-BDA4-3AB51016DC63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Curves!$D$62:$D$88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0.78961732233121928</c:v>
                </c:pt>
                <c:pt idx="4">
                  <c:v>0.81244622894730512</c:v>
                </c:pt>
                <c:pt idx="5">
                  <c:v>0.84703830565598248</c:v>
                </c:pt>
                <c:pt idx="6">
                  <c:v>0.89221859680480853</c:v>
                </c:pt>
                <c:pt idx="7">
                  <c:v>0.94603617335590395</c:v>
                </c:pt>
                <c:pt idx="8">
                  <c:v>1.0105372593243072</c:v>
                </c:pt>
                <c:pt idx="9">
                  <c:v>1.1300413494717605</c:v>
                </c:pt>
                <c:pt idx="10">
                  <c:v>1.2552128727662899</c:v>
                </c:pt>
                <c:pt idx="11">
                  <c:v>1.3391352845191853</c:v>
                </c:pt>
                <c:pt idx="12">
                  <c:v>1.3573984098120537</c:v>
                </c:pt>
                <c:pt idx="13">
                  <c:v>1.3717554882389593</c:v>
                </c:pt>
                <c:pt idx="14">
                  <c:v>1.3725408864023565</c:v>
                </c:pt>
                <c:pt idx="15">
                  <c:v>1.3733053406147304</c:v>
                </c:pt>
                <c:pt idx="16">
                  <c:v>1.372760797888108</c:v>
                </c:pt>
                <c:pt idx="17">
                  <c:v>1.3714832168756481</c:v>
                </c:pt>
                <c:pt idx="18">
                  <c:v>1.3701323320346044</c:v>
                </c:pt>
                <c:pt idx="19">
                  <c:v>1.3731063730800028</c:v>
                </c:pt>
                <c:pt idx="20">
                  <c:v>1.3726770220840123</c:v>
                </c:pt>
                <c:pt idx="21">
                  <c:v>1.3697134530141259</c:v>
                </c:pt>
                <c:pt idx="22">
                  <c:v>1.3693050459691594</c:v>
                </c:pt>
                <c:pt idx="23">
                  <c:v>1.3698495886957813</c:v>
                </c:pt>
                <c:pt idx="24">
                  <c:v>1.3691479663364798</c:v>
                </c:pt>
                <c:pt idx="25">
                  <c:v>1.368708143364977</c:v>
                </c:pt>
                <c:pt idx="26">
                  <c:v>1.3702370517897242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E-4102-BDA4-3AB51016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35232"/>
        <c:axId val="784336192"/>
      </c:scatterChart>
      <c:valAx>
        <c:axId val="784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36192"/>
        <c:crosses val="autoZero"/>
        <c:crossBetween val="midCat"/>
      </c:valAx>
      <c:valAx>
        <c:axId val="784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</a:t>
                </a:r>
                <a:r>
                  <a:rPr lang="en-GB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 vs wind</a:t>
            </a:r>
            <a:r>
              <a:rPr lang="en-GB" baseline="0"/>
              <a:t> speed</a:t>
            </a:r>
            <a:r>
              <a:rPr lang="en-GB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792577562639848"/>
          <c:w val="0.80786286089238857"/>
          <c:h val="0.65300906632478239"/>
        </c:manualLayout>
      </c:layout>
      <c:scatterChart>
        <c:scatterStyle val="lineMarker"/>
        <c:varyColors val="0"/>
        <c:ser>
          <c:idx val="0"/>
          <c:order val="0"/>
          <c:tx>
            <c:v>calculated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Curves!$A$24:$A$50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11.78312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Curves!$J$24:$J$50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236.85856602417559</c:v>
                </c:pt>
                <c:pt idx="4">
                  <c:v>421.08189515408992</c:v>
                </c:pt>
                <c:pt idx="5">
                  <c:v>657.94046117826565</c:v>
                </c:pt>
                <c:pt idx="6">
                  <c:v>947.43426409670235</c:v>
                </c:pt>
                <c:pt idx="7">
                  <c:v>1289.5633039094002</c:v>
                </c:pt>
                <c:pt idx="8">
                  <c:v>1684.3275806163597</c:v>
                </c:pt>
                <c:pt idx="9">
                  <c:v>2131.7270942175801</c:v>
                </c:pt>
                <c:pt idx="10">
                  <c:v>2631.7618447130626</c:v>
                </c:pt>
                <c:pt idx="11">
                  <c:v>3184.4318321028054</c:v>
                </c:pt>
                <c:pt idx="12">
                  <c:v>3288.3602970467891</c:v>
                </c:pt>
                <c:pt idx="13">
                  <c:v>3288.3602970467891</c:v>
                </c:pt>
                <c:pt idx="14">
                  <c:v>3288.3602970467891</c:v>
                </c:pt>
                <c:pt idx="15">
                  <c:v>3288.3602970467891</c:v>
                </c:pt>
                <c:pt idx="16">
                  <c:v>3288.3602970467891</c:v>
                </c:pt>
                <c:pt idx="17">
                  <c:v>3288.3602970467891</c:v>
                </c:pt>
                <c:pt idx="18">
                  <c:v>3288.3602970467891</c:v>
                </c:pt>
                <c:pt idx="19">
                  <c:v>3288.3602970467891</c:v>
                </c:pt>
                <c:pt idx="20">
                  <c:v>3288.3602970467891</c:v>
                </c:pt>
                <c:pt idx="21">
                  <c:v>3288.3602970467891</c:v>
                </c:pt>
                <c:pt idx="22">
                  <c:v>3288.3602970467891</c:v>
                </c:pt>
                <c:pt idx="23">
                  <c:v>3288.3602970467891</c:v>
                </c:pt>
                <c:pt idx="24">
                  <c:v>3288.3602970467891</c:v>
                </c:pt>
                <c:pt idx="25">
                  <c:v>3288.3602970467891</c:v>
                </c:pt>
                <c:pt idx="26">
                  <c:v>3288.3602970467891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C-4B88-B839-87556B3035AF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Curves!$F$62:$F$88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52.427799999999998</c:v>
                </c:pt>
                <c:pt idx="4">
                  <c:v>209.36600000000001</c:v>
                </c:pt>
                <c:pt idx="5">
                  <c:v>405.65899999999999</c:v>
                </c:pt>
                <c:pt idx="6">
                  <c:v>719.43600000000004</c:v>
                </c:pt>
                <c:pt idx="7">
                  <c:v>1093.55</c:v>
                </c:pt>
                <c:pt idx="8">
                  <c:v>1540.61</c:v>
                </c:pt>
                <c:pt idx="9">
                  <c:v>1955.03</c:v>
                </c:pt>
                <c:pt idx="10">
                  <c:v>2413.67</c:v>
                </c:pt>
                <c:pt idx="11">
                  <c:v>3016.29</c:v>
                </c:pt>
                <c:pt idx="12">
                  <c:v>3559.71</c:v>
                </c:pt>
                <c:pt idx="13">
                  <c:v>3529.66</c:v>
                </c:pt>
                <c:pt idx="14">
                  <c:v>3576.98</c:v>
                </c:pt>
                <c:pt idx="15">
                  <c:v>3534.77</c:v>
                </c:pt>
                <c:pt idx="16">
                  <c:v>3565.43</c:v>
                </c:pt>
                <c:pt idx="17">
                  <c:v>3533.63</c:v>
                </c:pt>
                <c:pt idx="18" formatCode="0.00">
                  <c:v>3550.7</c:v>
                </c:pt>
                <c:pt idx="19">
                  <c:v>3627.64</c:v>
                </c:pt>
                <c:pt idx="20" formatCode="0.00">
                  <c:v>3619.3</c:v>
                </c:pt>
                <c:pt idx="21" formatCode="0.00">
                  <c:v>3554</c:v>
                </c:pt>
                <c:pt idx="22">
                  <c:v>3577.14</c:v>
                </c:pt>
                <c:pt idx="23">
                  <c:v>3634.58</c:v>
                </c:pt>
                <c:pt idx="24">
                  <c:v>3602.51</c:v>
                </c:pt>
                <c:pt idx="25">
                  <c:v>3592.68</c:v>
                </c:pt>
                <c:pt idx="26">
                  <c:v>3645.99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C-4B88-B839-87556B30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38352"/>
        <c:axId val="337939312"/>
      </c:scatterChart>
      <c:valAx>
        <c:axId val="3379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9312"/>
        <c:crosses val="autoZero"/>
        <c:crossBetween val="midCat"/>
      </c:valAx>
      <c:valAx>
        <c:axId val="3379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kNm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Blade Pitch Angle vs wind speed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pitch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Curves!$A$62:$A$88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Curves!$E$62:$E$88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1.8085199999999999</c:v>
                </c:pt>
                <c:pt idx="14">
                  <c:v>5.29305</c:v>
                </c:pt>
                <c:pt idx="15">
                  <c:v>7.6628800000000004</c:v>
                </c:pt>
                <c:pt idx="16">
                  <c:v>9.61111</c:v>
                </c:pt>
                <c:pt idx="17">
                  <c:v>11.3508</c:v>
                </c:pt>
                <c:pt idx="18">
                  <c:v>12.9207</c:v>
                </c:pt>
                <c:pt idx="19">
                  <c:v>14.3909</c:v>
                </c:pt>
                <c:pt idx="20">
                  <c:v>15.790100000000001</c:v>
                </c:pt>
                <c:pt idx="21">
                  <c:v>17.136199999999999</c:v>
                </c:pt>
                <c:pt idx="22">
                  <c:v>18.6906</c:v>
                </c:pt>
                <c:pt idx="23">
                  <c:v>19.6066</c:v>
                </c:pt>
                <c:pt idx="24">
                  <c:v>20.794499999999999</c:v>
                </c:pt>
                <c:pt idx="25">
                  <c:v>21.900500000000001</c:v>
                </c:pt>
                <c:pt idx="26">
                  <c:v>23.023700000000002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6-4847-86AC-96D2A97F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66736"/>
        <c:axId val="595467216"/>
      </c:scatterChart>
      <c:valAx>
        <c:axId val="5954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67216"/>
        <c:crosses val="autoZero"/>
        <c:crossBetween val="midCat"/>
      </c:valAx>
      <c:valAx>
        <c:axId val="5954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Blade pitch angle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4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8.png"/><Relationship Id="rId18" Type="http://schemas.openxmlformats.org/officeDocument/2006/relationships/image" Target="../media/image13.png"/><Relationship Id="rId26" Type="http://schemas.openxmlformats.org/officeDocument/2006/relationships/image" Target="../media/image14.png"/><Relationship Id="rId3" Type="http://schemas.openxmlformats.org/officeDocument/2006/relationships/chart" Target="../charts/chart2.xml"/><Relationship Id="rId21" Type="http://schemas.openxmlformats.org/officeDocument/2006/relationships/chart" Target="../charts/chart8.xml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17" Type="http://schemas.openxmlformats.org/officeDocument/2006/relationships/image" Target="../media/image12.png"/><Relationship Id="rId25" Type="http://schemas.openxmlformats.org/officeDocument/2006/relationships/chart" Target="../charts/chart12.xm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chart" Target="../charts/chart7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24" Type="http://schemas.openxmlformats.org/officeDocument/2006/relationships/chart" Target="../charts/chart11.xml"/><Relationship Id="rId5" Type="http://schemas.openxmlformats.org/officeDocument/2006/relationships/chart" Target="../charts/chart3.xml"/><Relationship Id="rId15" Type="http://schemas.openxmlformats.org/officeDocument/2006/relationships/image" Target="../media/image10.png"/><Relationship Id="rId23" Type="http://schemas.openxmlformats.org/officeDocument/2006/relationships/chart" Target="../charts/chart10.xml"/><Relationship Id="rId28" Type="http://schemas.openxmlformats.org/officeDocument/2006/relationships/image" Target="../media/image16.png"/><Relationship Id="rId10" Type="http://schemas.openxmlformats.org/officeDocument/2006/relationships/chart" Target="../charts/chart4.xml"/><Relationship Id="rId19" Type="http://schemas.openxmlformats.org/officeDocument/2006/relationships/chart" Target="../charts/chart6.xml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9.png"/><Relationship Id="rId22" Type="http://schemas.openxmlformats.org/officeDocument/2006/relationships/chart" Target="../charts/chart9.xml"/><Relationship Id="rId27" Type="http://schemas.openxmlformats.org/officeDocument/2006/relationships/image" Target="../media/image15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15.xml"/><Relationship Id="rId2" Type="http://schemas.openxmlformats.org/officeDocument/2006/relationships/chart" Target="../charts/chart13.xml"/><Relationship Id="rId1" Type="http://schemas.openxmlformats.org/officeDocument/2006/relationships/image" Target="../media/image17.jpeg"/><Relationship Id="rId6" Type="http://schemas.openxmlformats.org/officeDocument/2006/relationships/image" Target="../media/image2.png"/><Relationship Id="rId5" Type="http://schemas.openxmlformats.org/officeDocument/2006/relationships/image" Target="../media/image18.png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16.xml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20.xml"/><Relationship Id="rId7" Type="http://schemas.openxmlformats.org/officeDocument/2006/relationships/chart" Target="../charts/chart23.xml"/><Relationship Id="rId2" Type="http://schemas.openxmlformats.org/officeDocument/2006/relationships/chart" Target="../charts/chart19.xml"/><Relationship Id="rId1" Type="http://schemas.openxmlformats.org/officeDocument/2006/relationships/image" Target="../media/image20.png"/><Relationship Id="rId6" Type="http://schemas.openxmlformats.org/officeDocument/2006/relationships/image" Target="../media/image21.png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20</xdr:row>
      <xdr:rowOff>17318</xdr:rowOff>
    </xdr:from>
    <xdr:to>
      <xdr:col>3</xdr:col>
      <xdr:colOff>1368136</xdr:colOff>
      <xdr:row>37</xdr:row>
      <xdr:rowOff>141720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79909C-57FA-4EEF-8000-836FFE17C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161926</xdr:colOff>
      <xdr:row>53</xdr:row>
      <xdr:rowOff>152400</xdr:rowOff>
    </xdr:from>
    <xdr:to>
      <xdr:col>7</xdr:col>
      <xdr:colOff>431502</xdr:colOff>
      <xdr:row>68</xdr:row>
      <xdr:rowOff>82550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AF5998C-72B3-4433-A0C5-5911189B5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6" y="9934575"/>
          <a:ext cx="5047950" cy="3000375"/>
        </a:xfrm>
        <a:prstGeom prst="rect">
          <a:avLst/>
        </a:prstGeom>
      </xdr:spPr>
    </xdr:pic>
    <xdr:clientData/>
  </xdr:twoCellAnchor>
  <xdr:twoCellAnchor>
    <xdr:from>
      <xdr:col>8</xdr:col>
      <xdr:colOff>303934</xdr:colOff>
      <xdr:row>53</xdr:row>
      <xdr:rowOff>93518</xdr:rowOff>
    </xdr:from>
    <xdr:to>
      <xdr:col>17</xdr:col>
      <xdr:colOff>354633</xdr:colOff>
      <xdr:row>71</xdr:row>
      <xdr:rowOff>9049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53A679-CAE3-453D-9605-71C6F37CD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311338</xdr:colOff>
      <xdr:row>81</xdr:row>
      <xdr:rowOff>30434</xdr:rowOff>
    </xdr:from>
    <xdr:to>
      <xdr:col>2</xdr:col>
      <xdr:colOff>391886</xdr:colOff>
      <xdr:row>82</xdr:row>
      <xdr:rowOff>173769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91A440A-0A3F-4451-AADE-46604F2DC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0659" y="14930255"/>
          <a:ext cx="1906627" cy="320228"/>
        </a:xfrm>
        <a:prstGeom prst="rect">
          <a:avLst/>
        </a:prstGeom>
      </xdr:spPr>
    </xdr:pic>
    <xdr:clientData/>
  </xdr:twoCellAnchor>
  <xdr:twoCellAnchor>
    <xdr:from>
      <xdr:col>0</xdr:col>
      <xdr:colOff>1021899</xdr:colOff>
      <xdr:row>131</xdr:row>
      <xdr:rowOff>67128</xdr:rowOff>
    </xdr:from>
    <xdr:to>
      <xdr:col>5</xdr:col>
      <xdr:colOff>533400</xdr:colOff>
      <xdr:row>149</xdr:row>
      <xdr:rowOff>123826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FE9A483-5498-48D7-A4C2-8C7AE243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64859</xdr:colOff>
      <xdr:row>189</xdr:row>
      <xdr:rowOff>132896</xdr:rowOff>
    </xdr:from>
    <xdr:to>
      <xdr:col>3</xdr:col>
      <xdr:colOff>240552</xdr:colOff>
      <xdr:row>190</xdr:row>
      <xdr:rowOff>176487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C93FFEA-C940-45D5-AA44-0B12218B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145" y="35144075"/>
          <a:ext cx="1005728" cy="220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187326</xdr:colOff>
      <xdr:row>201</xdr:row>
      <xdr:rowOff>20865</xdr:rowOff>
    </xdr:from>
    <xdr:to>
      <xdr:col>4</xdr:col>
      <xdr:colOff>649061</xdr:colOff>
      <xdr:row>203</xdr:row>
      <xdr:rowOff>100934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ACAFE534-CD99-4362-A0D1-691E4DBF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9647" y="38039222"/>
          <a:ext cx="1536700" cy="43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13607</xdr:colOff>
      <xdr:row>201</xdr:row>
      <xdr:rowOff>37646</xdr:rowOff>
    </xdr:from>
    <xdr:to>
      <xdr:col>2</xdr:col>
      <xdr:colOff>797832</xdr:colOff>
      <xdr:row>203</xdr:row>
      <xdr:rowOff>37779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A4B23513-684C-4BDC-A4FB-C0F743AB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38056003"/>
          <a:ext cx="784225" cy="35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476249</xdr:colOff>
      <xdr:row>182</xdr:row>
      <xdr:rowOff>13608</xdr:rowOff>
    </xdr:from>
    <xdr:to>
      <xdr:col>22</xdr:col>
      <xdr:colOff>47445</xdr:colOff>
      <xdr:row>197</xdr:row>
      <xdr:rowOff>57362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FB673AC1-16CF-ACCA-3ED4-62D0D5BE1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68249" y="33813751"/>
          <a:ext cx="6099450" cy="3060457"/>
        </a:xfrm>
        <a:prstGeom prst="rect">
          <a:avLst/>
        </a:prstGeom>
      </xdr:spPr>
    </xdr:pic>
    <xdr:clientData/>
  </xdr:twoCellAnchor>
  <xdr:oneCellAnchor>
    <xdr:from>
      <xdr:col>3</xdr:col>
      <xdr:colOff>85725</xdr:colOff>
      <xdr:row>229</xdr:row>
      <xdr:rowOff>19050</xdr:rowOff>
    </xdr:from>
    <xdr:ext cx="1227644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">
              <a:extLst>
                <a:ext uri="{FF2B5EF4-FFF2-40B4-BE49-F238E27FC236}">
                  <a16:creationId xmlns:a16="http://schemas.microsoft.com/office/drawing/2014/main" id="{A78041D4-1762-43D7-A5A3-819FDE143D27}"/>
                </a:ext>
              </a:extLst>
            </xdr:cNvPr>
            <xdr:cNvSpPr txBox="1"/>
          </xdr:nvSpPr>
          <xdr:spPr>
            <a:xfrm>
              <a:off x="5711825" y="4000500"/>
              <a:ext cx="1227644" cy="3180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𝑃𝑜𝑙𝑒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𝑝𝑖𝑡𝑐h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𝑃𝑜𝑙𝑒𝑠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9" name="TextBox 1">
              <a:extLst>
                <a:ext uri="{FF2B5EF4-FFF2-40B4-BE49-F238E27FC236}">
                  <a16:creationId xmlns:a16="http://schemas.microsoft.com/office/drawing/2014/main" id="{A78041D4-1762-43D7-A5A3-819FDE143D27}"/>
                </a:ext>
              </a:extLst>
            </xdr:cNvPr>
            <xdr:cNvSpPr txBox="1"/>
          </xdr:nvSpPr>
          <xdr:spPr>
            <a:xfrm>
              <a:off x="5711825" y="4000500"/>
              <a:ext cx="1227644" cy="3180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𝑃𝑜𝑙𝑒 𝑝𝑖𝑡𝑐ℎ= 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𝜋𝑅/</a:t>
              </a:r>
              <a:r>
                <a:rPr lang="en-GB" sz="1100" b="0" i="0">
                  <a:latin typeface="Cambria Math" panose="02040503050406030204" pitchFamily="18" charset="0"/>
                </a:rPr>
                <a:t>𝑃𝑜𝑙𝑒𝑠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213</xdr:row>
      <xdr:rowOff>14287</xdr:rowOff>
    </xdr:from>
    <xdr:ext cx="78720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2">
              <a:extLst>
                <a:ext uri="{FF2B5EF4-FFF2-40B4-BE49-F238E27FC236}">
                  <a16:creationId xmlns:a16="http://schemas.microsoft.com/office/drawing/2014/main" id="{505A8028-C201-4D56-95E9-E804F1878740}"/>
                </a:ext>
              </a:extLst>
            </xdr:cNvPr>
            <xdr:cNvSpPr txBox="1"/>
          </xdr:nvSpPr>
          <xdr:spPr>
            <a:xfrm>
              <a:off x="5730875" y="1096962"/>
              <a:ext cx="7872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0" name="TextBox 2">
              <a:extLst>
                <a:ext uri="{FF2B5EF4-FFF2-40B4-BE49-F238E27FC236}">
                  <a16:creationId xmlns:a16="http://schemas.microsoft.com/office/drawing/2014/main" id="{505A8028-C201-4D56-95E9-E804F1878740}"/>
                </a:ext>
              </a:extLst>
            </xdr:cNvPr>
            <xdr:cNvSpPr txBox="1"/>
          </xdr:nvSpPr>
          <xdr:spPr>
            <a:xfrm>
              <a:off x="5730875" y="1096962"/>
              <a:ext cx="7872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𝑇=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𝜎2𝜋𝑅^2 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216</xdr:row>
      <xdr:rowOff>138112</xdr:rowOff>
    </xdr:from>
    <xdr:ext cx="1543050" cy="8159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3">
              <a:extLst>
                <a:ext uri="{FF2B5EF4-FFF2-40B4-BE49-F238E27FC236}">
                  <a16:creationId xmlns:a16="http://schemas.microsoft.com/office/drawing/2014/main" id="{4C447452-D589-4256-ACD4-D956709E3998}"/>
                </a:ext>
              </a:extLst>
            </xdr:cNvPr>
            <xdr:cNvSpPr txBox="1"/>
          </xdr:nvSpPr>
          <xdr:spPr>
            <a:xfrm>
              <a:off x="5686425" y="1770062"/>
              <a:ext cx="1543050" cy="815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1" name="TextBox 3">
              <a:extLst>
                <a:ext uri="{FF2B5EF4-FFF2-40B4-BE49-F238E27FC236}">
                  <a16:creationId xmlns:a16="http://schemas.microsoft.com/office/drawing/2014/main" id="{4C447452-D589-4256-ACD4-D956709E3998}"/>
                </a:ext>
              </a:extLst>
            </xdr:cNvPr>
            <xdr:cNvSpPr txBox="1"/>
          </xdr:nvSpPr>
          <xdr:spPr>
            <a:xfrm>
              <a:off x="5686425" y="1770062"/>
              <a:ext cx="1543050" cy="815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𝑇=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𝜎2𝜋𝑅^3 (𝐿/𝑅)</a:t>
              </a:r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𝑅=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∛(</a:t>
              </a:r>
              <a:r>
                <a:rPr lang="en-GB" sz="1100" b="0" i="0">
                  <a:latin typeface="Cambria Math" panose="02040503050406030204" pitchFamily="18" charset="0"/>
                </a:rPr>
                <a:t>𝑇/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𝜎2𝜋</a:t>
              </a:r>
              <a:r>
                <a:rPr lang="en-GB" sz="1100" b="0" i="0">
                  <a:latin typeface="Cambria Math" panose="02040503050406030204" pitchFamily="18" charset="0"/>
                </a:rPr>
                <a:t>(𝑅/𝐿))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353786</xdr:colOff>
      <xdr:row>242</xdr:row>
      <xdr:rowOff>68035</xdr:rowOff>
    </xdr:from>
    <xdr:to>
      <xdr:col>6</xdr:col>
      <xdr:colOff>1470025</xdr:colOff>
      <xdr:row>258</xdr:row>
      <xdr:rowOff>31750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FBF470C-1674-47A0-88DC-D97F5B24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57604</xdr:colOff>
      <xdr:row>74</xdr:row>
      <xdr:rowOff>95250</xdr:rowOff>
    </xdr:from>
    <xdr:to>
      <xdr:col>13</xdr:col>
      <xdr:colOff>429308</xdr:colOff>
      <xdr:row>82</xdr:row>
      <xdr:rowOff>26377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2A79696D-A2FE-AAEF-8E67-5A1BD8930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508390" y="13756821"/>
          <a:ext cx="4461104" cy="1352620"/>
        </a:xfrm>
        <a:prstGeom prst="rect">
          <a:avLst/>
        </a:prstGeom>
      </xdr:spPr>
    </xdr:pic>
    <xdr:clientData/>
  </xdr:twoCellAnchor>
  <xdr:twoCellAnchor>
    <xdr:from>
      <xdr:col>6</xdr:col>
      <xdr:colOff>244928</xdr:colOff>
      <xdr:row>303</xdr:row>
      <xdr:rowOff>68036</xdr:rowOff>
    </xdr:from>
    <xdr:to>
      <xdr:col>8</xdr:col>
      <xdr:colOff>262618</xdr:colOff>
      <xdr:row>318</xdr:row>
      <xdr:rowOff>164193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716E5AD9-39DF-428D-A9CE-CFF49341B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896535</xdr:colOff>
      <xdr:row>340</xdr:row>
      <xdr:rowOff>76743</xdr:rowOff>
    </xdr:from>
    <xdr:to>
      <xdr:col>0</xdr:col>
      <xdr:colOff>2113329</xdr:colOff>
      <xdr:row>341</xdr:row>
      <xdr:rowOff>159201</xdr:rowOff>
    </xdr:to>
    <xdr:pic>
      <xdr:nvPicPr>
        <xdr:cNvPr id="35" name="Picture 1">
          <a:extLst>
            <a:ext uri="{FF2B5EF4-FFF2-40B4-BE49-F238E27FC236}">
              <a16:creationId xmlns:a16="http://schemas.microsoft.com/office/drawing/2014/main" id="{75273CF5-F9B5-4EEF-A376-F4E499EED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535" y="64589568"/>
          <a:ext cx="1216794" cy="263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827210</xdr:colOff>
      <xdr:row>342</xdr:row>
      <xdr:rowOff>170961</xdr:rowOff>
    </xdr:from>
    <xdr:to>
      <xdr:col>0</xdr:col>
      <xdr:colOff>2228607</xdr:colOff>
      <xdr:row>345</xdr:row>
      <xdr:rowOff>35657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8CE76E07-2D8E-4F70-9B2E-A67FD68E7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210" y="65045736"/>
          <a:ext cx="1401397" cy="407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695325</xdr:colOff>
      <xdr:row>346</xdr:row>
      <xdr:rowOff>161193</xdr:rowOff>
    </xdr:from>
    <xdr:to>
      <xdr:col>0</xdr:col>
      <xdr:colOff>2266462</xdr:colOff>
      <xdr:row>349</xdr:row>
      <xdr:rowOff>54220</xdr:rowOff>
    </xdr:to>
    <xdr:pic>
      <xdr:nvPicPr>
        <xdr:cNvPr id="37" name="Picture 3">
          <a:extLst>
            <a:ext uri="{FF2B5EF4-FFF2-40B4-BE49-F238E27FC236}">
              <a16:creationId xmlns:a16="http://schemas.microsoft.com/office/drawing/2014/main" id="{C922A333-213B-4EED-B112-8DABF833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5759868"/>
          <a:ext cx="1571137" cy="435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892176</xdr:colOff>
      <xdr:row>349</xdr:row>
      <xdr:rowOff>6350</xdr:rowOff>
    </xdr:from>
    <xdr:to>
      <xdr:col>0</xdr:col>
      <xdr:colOff>2112108</xdr:colOff>
      <xdr:row>351</xdr:row>
      <xdr:rowOff>76200</xdr:rowOff>
    </xdr:to>
    <xdr:pic>
      <xdr:nvPicPr>
        <xdr:cNvPr id="38" name="Picture 4">
          <a:extLst>
            <a:ext uri="{FF2B5EF4-FFF2-40B4-BE49-F238E27FC236}">
              <a16:creationId xmlns:a16="http://schemas.microsoft.com/office/drawing/2014/main" id="{CED478DF-2D52-48DD-8833-100F6433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176" y="66147950"/>
          <a:ext cx="1219932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344366</xdr:colOff>
      <xdr:row>336</xdr:row>
      <xdr:rowOff>201002</xdr:rowOff>
    </xdr:from>
    <xdr:to>
      <xdr:col>4</xdr:col>
      <xdr:colOff>86947</xdr:colOff>
      <xdr:row>354</xdr:row>
      <xdr:rowOff>19076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F9FE0975-B644-4771-A505-11CD3419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17981" y="65315367"/>
          <a:ext cx="1545981" cy="3159151"/>
        </a:xfrm>
        <a:prstGeom prst="rect">
          <a:avLst/>
        </a:prstGeom>
      </xdr:spPr>
    </xdr:pic>
    <xdr:clientData/>
  </xdr:twoCellAnchor>
  <xdr:twoCellAnchor editAs="oneCell">
    <xdr:from>
      <xdr:col>4</xdr:col>
      <xdr:colOff>353048</xdr:colOff>
      <xdr:row>336</xdr:row>
      <xdr:rowOff>218831</xdr:rowOff>
    </xdr:from>
    <xdr:to>
      <xdr:col>5</xdr:col>
      <xdr:colOff>431311</xdr:colOff>
      <xdr:row>354</xdr:row>
      <xdr:rowOff>125972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D727210-0865-4C25-89AD-EA954D6E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36413" y="65333196"/>
          <a:ext cx="1566606" cy="3248218"/>
        </a:xfrm>
        <a:prstGeom prst="rect">
          <a:avLst/>
        </a:prstGeom>
      </xdr:spPr>
    </xdr:pic>
    <xdr:clientData/>
  </xdr:twoCellAnchor>
  <xdr:twoCellAnchor>
    <xdr:from>
      <xdr:col>0</xdr:col>
      <xdr:colOff>426751</xdr:colOff>
      <xdr:row>356</xdr:row>
      <xdr:rowOff>48779</xdr:rowOff>
    </xdr:from>
    <xdr:to>
      <xdr:col>3</xdr:col>
      <xdr:colOff>439101</xdr:colOff>
      <xdr:row>378</xdr:row>
      <xdr:rowOff>23813</xdr:rowOff>
    </xdr:to>
    <xdr:graphicFrame macro="">
      <xdr:nvGraphicFramePr>
        <xdr:cNvPr id="54" name="Chart 4">
          <a:extLst>
            <a:ext uri="{FF2B5EF4-FFF2-40B4-BE49-F238E27FC236}">
              <a16:creationId xmlns:a16="http://schemas.microsoft.com/office/drawing/2014/main" id="{ECD36160-2F80-4DA4-B1E5-59568EF7A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3297488</xdr:colOff>
      <xdr:row>356</xdr:row>
      <xdr:rowOff>65644</xdr:rowOff>
    </xdr:from>
    <xdr:to>
      <xdr:col>14</xdr:col>
      <xdr:colOff>66674</xdr:colOff>
      <xdr:row>377</xdr:row>
      <xdr:rowOff>161925</xdr:rowOff>
    </xdr:to>
    <xdr:graphicFrame macro="">
      <xdr:nvGraphicFramePr>
        <xdr:cNvPr id="55" name="Chart 7">
          <a:extLst>
            <a:ext uri="{FF2B5EF4-FFF2-40B4-BE49-F238E27FC236}">
              <a16:creationId xmlns:a16="http://schemas.microsoft.com/office/drawing/2014/main" id="{3620DC74-3999-4308-AD10-C6366A22F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955675</xdr:colOff>
      <xdr:row>356</xdr:row>
      <xdr:rowOff>88856</xdr:rowOff>
    </xdr:from>
    <xdr:to>
      <xdr:col>6</xdr:col>
      <xdr:colOff>2663825</xdr:colOff>
      <xdr:row>378</xdr:row>
      <xdr:rowOff>14144</xdr:rowOff>
    </xdr:to>
    <xdr:graphicFrame macro="">
      <xdr:nvGraphicFramePr>
        <xdr:cNvPr id="56" name="Chart 8">
          <a:extLst>
            <a:ext uri="{FF2B5EF4-FFF2-40B4-BE49-F238E27FC236}">
              <a16:creationId xmlns:a16="http://schemas.microsoft.com/office/drawing/2014/main" id="{7E29F6AC-3CD2-474C-B9FE-C529E11C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389290</xdr:colOff>
      <xdr:row>380</xdr:row>
      <xdr:rowOff>171827</xdr:rowOff>
    </xdr:from>
    <xdr:to>
      <xdr:col>3</xdr:col>
      <xdr:colOff>346363</xdr:colOff>
      <xdr:row>401</xdr:row>
      <xdr:rowOff>121227</xdr:rowOff>
    </xdr:to>
    <xdr:graphicFrame macro="">
      <xdr:nvGraphicFramePr>
        <xdr:cNvPr id="57" name="Chart 10">
          <a:extLst>
            <a:ext uri="{FF2B5EF4-FFF2-40B4-BE49-F238E27FC236}">
              <a16:creationId xmlns:a16="http://schemas.microsoft.com/office/drawing/2014/main" id="{D23D725E-1971-4792-AD2D-2465CF4D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868981</xdr:colOff>
      <xdr:row>381</xdr:row>
      <xdr:rowOff>121073</xdr:rowOff>
    </xdr:from>
    <xdr:to>
      <xdr:col>6</xdr:col>
      <xdr:colOff>2628900</xdr:colOff>
      <xdr:row>401</xdr:row>
      <xdr:rowOff>152400</xdr:rowOff>
    </xdr:to>
    <xdr:graphicFrame macro="">
      <xdr:nvGraphicFramePr>
        <xdr:cNvPr id="58" name="图表 57">
          <a:extLst>
            <a:ext uri="{FF2B5EF4-FFF2-40B4-BE49-F238E27FC236}">
              <a16:creationId xmlns:a16="http://schemas.microsoft.com/office/drawing/2014/main" id="{E00F3E85-E213-4166-A605-930DAEC00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3303114</xdr:colOff>
      <xdr:row>381</xdr:row>
      <xdr:rowOff>140899</xdr:rowOff>
    </xdr:from>
    <xdr:to>
      <xdr:col>13</xdr:col>
      <xdr:colOff>523875</xdr:colOff>
      <xdr:row>401</xdr:row>
      <xdr:rowOff>161925</xdr:rowOff>
    </xdr:to>
    <xdr:graphicFrame macro="">
      <xdr:nvGraphicFramePr>
        <xdr:cNvPr id="59" name="图表 58">
          <a:extLst>
            <a:ext uri="{FF2B5EF4-FFF2-40B4-BE49-F238E27FC236}">
              <a16:creationId xmlns:a16="http://schemas.microsoft.com/office/drawing/2014/main" id="{0363667E-2BC9-4E39-8904-1AC107D2E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3</xdr:col>
      <xdr:colOff>104588</xdr:colOff>
      <xdr:row>443</xdr:row>
      <xdr:rowOff>104103</xdr:rowOff>
    </xdr:from>
    <xdr:ext cx="1047082" cy="346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ADFC6A4E-1FC5-44FB-B6D9-7A03FA44B374}"/>
                </a:ext>
              </a:extLst>
            </xdr:cNvPr>
            <xdr:cNvSpPr txBox="1"/>
          </xdr:nvSpPr>
          <xdr:spPr>
            <a:xfrm>
              <a:off x="5467163" y="7666953"/>
              <a:ext cx="1047082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𝐿𝐶𝑜𝐸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ADFC6A4E-1FC5-44FB-B6D9-7A03FA44B374}"/>
                </a:ext>
              </a:extLst>
            </xdr:cNvPr>
            <xdr:cNvSpPr txBox="1"/>
          </xdr:nvSpPr>
          <xdr:spPr>
            <a:xfrm>
              <a:off x="5467163" y="7666953"/>
              <a:ext cx="1047082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𝐿𝐶𝑜𝐸=𝐶/(𝑆_𝑛 𝐸)+𝑂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3</xdr:col>
      <xdr:colOff>95399</xdr:colOff>
      <xdr:row>442</xdr:row>
      <xdr:rowOff>187</xdr:rowOff>
    </xdr:from>
    <xdr:ext cx="1690656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BB6E9C7C-B8E8-4C87-BAC4-C3E189047E13}"/>
                </a:ext>
              </a:extLst>
            </xdr:cNvPr>
            <xdr:cNvSpPr txBox="1"/>
          </xdr:nvSpPr>
          <xdr:spPr>
            <a:xfrm>
              <a:off x="5457974" y="7382062"/>
              <a:ext cx="1690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[1−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</m:d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BB6E9C7C-B8E8-4C87-BAC4-C3E189047E13}"/>
                </a:ext>
              </a:extLst>
            </xdr:cNvPr>
            <xdr:cNvSpPr txBox="1"/>
          </xdr:nvSpPr>
          <xdr:spPr>
            <a:xfrm>
              <a:off x="5457974" y="7382062"/>
              <a:ext cx="1690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𝑆_𝑛=1+1/𝑟[1−(1+𝑟)^(1−𝑛)]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6</xdr:col>
      <xdr:colOff>245234</xdr:colOff>
      <xdr:row>445</xdr:row>
      <xdr:rowOff>116578</xdr:rowOff>
    </xdr:from>
    <xdr:to>
      <xdr:col>9</xdr:col>
      <xdr:colOff>363682</xdr:colOff>
      <xdr:row>462</xdr:row>
      <xdr:rowOff>51954</xdr:rowOff>
    </xdr:to>
    <xdr:graphicFrame macro="">
      <xdr:nvGraphicFramePr>
        <xdr:cNvPr id="62" name="图表 61">
          <a:extLst>
            <a:ext uri="{FF2B5EF4-FFF2-40B4-BE49-F238E27FC236}">
              <a16:creationId xmlns:a16="http://schemas.microsoft.com/office/drawing/2014/main" id="{30FBAC8B-2D60-4441-81FF-642A7186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0</xdr:col>
      <xdr:colOff>47625</xdr:colOff>
      <xdr:row>457</xdr:row>
      <xdr:rowOff>66675</xdr:rowOff>
    </xdr:from>
    <xdr:to>
      <xdr:col>2</xdr:col>
      <xdr:colOff>87720</xdr:colOff>
      <xdr:row>468</xdr:row>
      <xdr:rowOff>123930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FCDE5932-6412-4FFE-8A34-62423A9E9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426575" y="8531225"/>
          <a:ext cx="5139145" cy="205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103793</xdr:colOff>
      <xdr:row>407</xdr:row>
      <xdr:rowOff>81447</xdr:rowOff>
    </xdr:from>
    <xdr:to>
      <xdr:col>6</xdr:col>
      <xdr:colOff>1895148</xdr:colOff>
      <xdr:row>420</xdr:row>
      <xdr:rowOff>106157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B16C557E-6EFF-4D2F-BF63-FAE556C5F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90663" y="78004230"/>
          <a:ext cx="4174813" cy="2387186"/>
        </a:xfrm>
        <a:prstGeom prst="rect">
          <a:avLst/>
        </a:prstGeom>
      </xdr:spPr>
    </xdr:pic>
    <xdr:clientData/>
  </xdr:twoCellAnchor>
  <xdr:twoCellAnchor editAs="oneCell">
    <xdr:from>
      <xdr:col>4</xdr:col>
      <xdr:colOff>111310</xdr:colOff>
      <xdr:row>423</xdr:row>
      <xdr:rowOff>3726</xdr:rowOff>
    </xdr:from>
    <xdr:to>
      <xdr:col>6</xdr:col>
      <xdr:colOff>2012397</xdr:colOff>
      <xdr:row>436</xdr:row>
      <xdr:rowOff>38717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3675A688-CB8B-483A-B804-815A08C8A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698180" y="80841987"/>
          <a:ext cx="4271845" cy="24038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57150</xdr:rowOff>
    </xdr:from>
    <xdr:to>
      <xdr:col>5</xdr:col>
      <xdr:colOff>85725</xdr:colOff>
      <xdr:row>7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4825" y="57150"/>
          <a:ext cx="3286125" cy="1323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590550</xdr:colOff>
      <xdr:row>1</xdr:row>
      <xdr:rowOff>66676</xdr:rowOff>
    </xdr:from>
    <xdr:to>
      <xdr:col>5</xdr:col>
      <xdr:colOff>171450</xdr:colOff>
      <xdr:row>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33" t="-3704"/>
        <a:stretch/>
      </xdr:blipFill>
      <xdr:spPr bwMode="auto">
        <a:xfrm>
          <a:off x="590550" y="257176"/>
          <a:ext cx="34385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3</xdr:row>
      <xdr:rowOff>104775</xdr:rowOff>
    </xdr:from>
    <xdr:to>
      <xdr:col>5</xdr:col>
      <xdr:colOff>200025</xdr:colOff>
      <xdr:row>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36"/>
        <a:stretch/>
      </xdr:blipFill>
      <xdr:spPr bwMode="auto">
        <a:xfrm>
          <a:off x="533400" y="676275"/>
          <a:ext cx="35242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38100</xdr:rowOff>
    </xdr:from>
    <xdr:to>
      <xdr:col>17</xdr:col>
      <xdr:colOff>565150</xdr:colOff>
      <xdr:row>30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E0AB96-5430-32F9-8AB0-F0119FCD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438149</xdr:colOff>
      <xdr:row>1</xdr:row>
      <xdr:rowOff>9525</xdr:rowOff>
    </xdr:from>
    <xdr:to>
      <xdr:col>1</xdr:col>
      <xdr:colOff>387350</xdr:colOff>
      <xdr:row>2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75" t="1" r="36106" b="-2779"/>
        <a:stretch/>
      </xdr:blipFill>
      <xdr:spPr bwMode="auto">
        <a:xfrm>
          <a:off x="438149" y="200025"/>
          <a:ext cx="163830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315191</xdr:colOff>
      <xdr:row>4</xdr:row>
      <xdr:rowOff>85725</xdr:rowOff>
    </xdr:from>
    <xdr:to>
      <xdr:col>18</xdr:col>
      <xdr:colOff>28575</xdr:colOff>
      <xdr:row>46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71575-8A48-4C3D-B204-FF219BC0D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464" y="778452"/>
          <a:ext cx="6952384" cy="737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23091</xdr:colOff>
      <xdr:row>3</xdr:row>
      <xdr:rowOff>0</xdr:rowOff>
    </xdr:from>
    <xdr:to>
      <xdr:col>29</xdr:col>
      <xdr:colOff>508865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53CC75-48F8-4498-95CA-1B4254CB5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2455" y="519545"/>
          <a:ext cx="7066683" cy="2986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94286</xdr:colOff>
      <xdr:row>22</xdr:row>
      <xdr:rowOff>11545</xdr:rowOff>
    </xdr:from>
    <xdr:to>
      <xdr:col>28</xdr:col>
      <xdr:colOff>350211</xdr:colOff>
      <xdr:row>60</xdr:row>
      <xdr:rowOff>141089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A5C740-58D5-480A-B0A3-B02FCF4D0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3650" y="3844636"/>
          <a:ext cx="6178743" cy="6710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2584928</xdr:colOff>
      <xdr:row>39</xdr:row>
      <xdr:rowOff>135829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5C3CE2-0298-4980-8FC6-6B1918197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91100"/>
          <a:ext cx="2584928" cy="2091629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272144</xdr:colOff>
      <xdr:row>27</xdr:row>
      <xdr:rowOff>117929</xdr:rowOff>
    </xdr:from>
    <xdr:to>
      <xdr:col>7</xdr:col>
      <xdr:colOff>93394</xdr:colOff>
      <xdr:row>47</xdr:row>
      <xdr:rowOff>85308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05B868-F349-41B2-9DA6-1B960817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7444" y="4931229"/>
          <a:ext cx="4348800" cy="35233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45605</xdr:colOff>
      <xdr:row>73</xdr:row>
      <xdr:rowOff>139740</xdr:rowOff>
    </xdr:from>
    <xdr:ext cx="11691001" cy="11190248"/>
    <xdr:pic>
      <xdr:nvPicPr>
        <xdr:cNvPr id="3" name="Picture 5" descr="C:\CGA Documents\Edinburgh University\Source\L7 - Materials\T7 challenge page.jpg">
          <a:extLst>
            <a:ext uri="{FF2B5EF4-FFF2-40B4-BE49-F238E27FC236}">
              <a16:creationId xmlns:a16="http://schemas.microsoft.com/office/drawing/2014/main" id="{9BFB2F00-5CDF-41AF-8B1C-A74BB73CA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3793" y="14212928"/>
          <a:ext cx="11691001" cy="11190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10102</xdr:colOff>
      <xdr:row>44</xdr:row>
      <xdr:rowOff>69995</xdr:rowOff>
    </xdr:from>
    <xdr:to>
      <xdr:col>24</xdr:col>
      <xdr:colOff>479424</xdr:colOff>
      <xdr:row>69</xdr:row>
      <xdr:rowOff>187324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AA9209-65F7-46A0-8D70-203F90C37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323043</xdr:colOff>
      <xdr:row>0</xdr:row>
      <xdr:rowOff>181077</xdr:rowOff>
    </xdr:from>
    <xdr:to>
      <xdr:col>24</xdr:col>
      <xdr:colOff>278754</xdr:colOff>
      <xdr:row>19</xdr:row>
      <xdr:rowOff>68262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E9BA1C-9B10-2791-E6CA-FFBDF824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39981" y="181077"/>
          <a:ext cx="6810536" cy="4343298"/>
        </a:xfrm>
        <a:prstGeom prst="rect">
          <a:avLst/>
        </a:prstGeom>
      </xdr:spPr>
    </xdr:pic>
    <xdr:clientData/>
  </xdr:twoCellAnchor>
  <xdr:twoCellAnchor>
    <xdr:from>
      <xdr:col>16</xdr:col>
      <xdr:colOff>629229</xdr:colOff>
      <xdr:row>21</xdr:row>
      <xdr:rowOff>97678</xdr:rowOff>
    </xdr:from>
    <xdr:to>
      <xdr:col>23</xdr:col>
      <xdr:colOff>1944687</xdr:colOff>
      <xdr:row>40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A24C48-B4A7-F34E-E2F9-4C28EE76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37524</xdr:colOff>
      <xdr:row>48</xdr:row>
      <xdr:rowOff>31749</xdr:rowOff>
    </xdr:from>
    <xdr:to>
      <xdr:col>11</xdr:col>
      <xdr:colOff>631032</xdr:colOff>
      <xdr:row>51</xdr:row>
      <xdr:rowOff>63503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D8DD4254-5045-47CC-9149-DCBE0CBF3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1795" r="32905" b="53439"/>
        <a:stretch/>
      </xdr:blipFill>
      <xdr:spPr>
        <a:xfrm>
          <a:off x="12416055" y="9322593"/>
          <a:ext cx="593508" cy="508004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508001</xdr:colOff>
      <xdr:row>74</xdr:row>
      <xdr:rowOff>82550</xdr:rowOff>
    </xdr:from>
    <xdr:to>
      <xdr:col>11</xdr:col>
      <xdr:colOff>552451</xdr:colOff>
      <xdr:row>74</xdr:row>
      <xdr:rowOff>512001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E0E633D-9D9B-461C-9D40-C573CDE99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34376" y="628650"/>
          <a:ext cx="2581275" cy="426276"/>
        </a:xfrm>
        <a:prstGeom prst="rect">
          <a:avLst/>
        </a:prstGeom>
      </xdr:spPr>
    </xdr:pic>
    <xdr:clientData/>
  </xdr:twoCellAnchor>
  <xdr:twoCellAnchor>
    <xdr:from>
      <xdr:col>4</xdr:col>
      <xdr:colOff>377826</xdr:colOff>
      <xdr:row>104</xdr:row>
      <xdr:rowOff>173037</xdr:rowOff>
    </xdr:from>
    <xdr:to>
      <xdr:col>9</xdr:col>
      <xdr:colOff>160338</xdr:colOff>
      <xdr:row>118</xdr:row>
      <xdr:rowOff>177800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2214716-E932-5584-382C-59309BDD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43</xdr:row>
      <xdr:rowOff>35859</xdr:rowOff>
    </xdr:from>
    <xdr:to>
      <xdr:col>0</xdr:col>
      <xdr:colOff>1876425</xdr:colOff>
      <xdr:row>45</xdr:row>
      <xdr:rowOff>101600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50703ADC-5829-4302-95EC-9859CF781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7855884"/>
          <a:ext cx="1546225" cy="427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314325</xdr:colOff>
      <xdr:row>47</xdr:row>
      <xdr:rowOff>9525</xdr:rowOff>
    </xdr:from>
    <xdr:to>
      <xdr:col>0</xdr:col>
      <xdr:colOff>1095375</xdr:colOff>
      <xdr:row>48</xdr:row>
      <xdr:rowOff>180975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52F0A89C-7165-438F-BCB3-1B20760CB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642725"/>
          <a:ext cx="78105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561414</xdr:colOff>
      <xdr:row>37</xdr:row>
      <xdr:rowOff>177055</xdr:rowOff>
    </xdr:from>
    <xdr:to>
      <xdr:col>0</xdr:col>
      <xdr:colOff>1560792</xdr:colOff>
      <xdr:row>39</xdr:row>
      <xdr:rowOff>35775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5169A540-F3E8-403D-9741-6D484EB29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14" y="7102290"/>
          <a:ext cx="999378" cy="217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148664</xdr:colOff>
      <xdr:row>28</xdr:row>
      <xdr:rowOff>165097</xdr:rowOff>
    </xdr:from>
    <xdr:to>
      <xdr:col>8</xdr:col>
      <xdr:colOff>396968</xdr:colOff>
      <xdr:row>45</xdr:row>
      <xdr:rowOff>126438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648C130-796E-F107-91E6-BF74E754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43811" y="5230156"/>
          <a:ext cx="2892892" cy="3249521"/>
        </a:xfrm>
        <a:prstGeom prst="rect">
          <a:avLst/>
        </a:prstGeom>
      </xdr:spPr>
    </xdr:pic>
    <xdr:clientData/>
  </xdr:twoCellAnchor>
  <xdr:twoCellAnchor>
    <xdr:from>
      <xdr:col>8</xdr:col>
      <xdr:colOff>627062</xdr:colOff>
      <xdr:row>46</xdr:row>
      <xdr:rowOff>25834</xdr:rowOff>
    </xdr:from>
    <xdr:to>
      <xdr:col>15</xdr:col>
      <xdr:colOff>851647</xdr:colOff>
      <xdr:row>63</xdr:row>
      <xdr:rowOff>22412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06D4C60-4F84-7C1E-6046-888ABE6C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</xdr:colOff>
      <xdr:row>22</xdr:row>
      <xdr:rowOff>19050</xdr:rowOff>
    </xdr:from>
    <xdr:ext cx="122764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327119-4BD2-4199-A1BA-9E81FF656C83}"/>
                </a:ext>
              </a:extLst>
            </xdr:cNvPr>
            <xdr:cNvSpPr txBox="1"/>
          </xdr:nvSpPr>
          <xdr:spPr>
            <a:xfrm>
              <a:off x="7680325" y="4298950"/>
              <a:ext cx="1227644" cy="3180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𝑃𝑜𝑙𝑒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𝑝𝑖𝑡𝑐h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𝑃𝑜𝑙𝑒𝑠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327119-4BD2-4199-A1BA-9E81FF656C83}"/>
                </a:ext>
              </a:extLst>
            </xdr:cNvPr>
            <xdr:cNvSpPr txBox="1"/>
          </xdr:nvSpPr>
          <xdr:spPr>
            <a:xfrm>
              <a:off x="7680325" y="4298950"/>
              <a:ext cx="1227644" cy="3180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𝑃𝑜𝑙𝑒 𝑝𝑖𝑡𝑐ℎ= 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𝜋𝑅/</a:t>
              </a:r>
              <a:r>
                <a:rPr lang="en-GB" sz="1100" b="0" i="0">
                  <a:latin typeface="Cambria Math" panose="02040503050406030204" pitchFamily="18" charset="0"/>
                </a:rPr>
                <a:t>𝑃𝑜𝑙𝑒𝑠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6</xdr:row>
      <xdr:rowOff>14287</xdr:rowOff>
    </xdr:from>
    <xdr:ext cx="7872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AE9E17-C22A-4F54-B46F-FFB41C661366}"/>
                </a:ext>
              </a:extLst>
            </xdr:cNvPr>
            <xdr:cNvSpPr txBox="1"/>
          </xdr:nvSpPr>
          <xdr:spPr>
            <a:xfrm>
              <a:off x="7699375" y="1436687"/>
              <a:ext cx="7872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9AE9E17-C22A-4F54-B46F-FFB41C661366}"/>
                </a:ext>
              </a:extLst>
            </xdr:cNvPr>
            <xdr:cNvSpPr txBox="1"/>
          </xdr:nvSpPr>
          <xdr:spPr>
            <a:xfrm>
              <a:off x="7699375" y="1436687"/>
              <a:ext cx="7872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𝑇=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𝜎2𝜋𝑅^2 𝐿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9</xdr:row>
      <xdr:rowOff>138112</xdr:rowOff>
    </xdr:from>
    <xdr:ext cx="1543050" cy="815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96E48BE-09A8-4D06-A01B-1BCA94DD7DF5}"/>
                </a:ext>
              </a:extLst>
            </xdr:cNvPr>
            <xdr:cNvSpPr txBox="1"/>
          </xdr:nvSpPr>
          <xdr:spPr>
            <a:xfrm>
              <a:off x="5689600" y="1738312"/>
              <a:ext cx="1543050" cy="815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𝜋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96E48BE-09A8-4D06-A01B-1BCA94DD7DF5}"/>
                </a:ext>
              </a:extLst>
            </xdr:cNvPr>
            <xdr:cNvSpPr txBox="1"/>
          </xdr:nvSpPr>
          <xdr:spPr>
            <a:xfrm>
              <a:off x="5689600" y="1738312"/>
              <a:ext cx="1543050" cy="815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𝑇=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𝜎2𝜋𝑅^3 (𝐿/𝑅)</a:t>
              </a:r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𝑅=</a:t>
              </a:r>
              <a:r>
                <a:rPr lang="en-GB" altLang="zh-CN" sz="1100" b="0" i="0">
                  <a:latin typeface="Cambria Math" panose="02040503050406030204" pitchFamily="18" charset="0"/>
                </a:rPr>
                <a:t>∛(</a:t>
              </a:r>
              <a:r>
                <a:rPr lang="en-GB" sz="1100" b="0" i="0">
                  <a:latin typeface="Cambria Math" panose="02040503050406030204" pitchFamily="18" charset="0"/>
                </a:rPr>
                <a:t>𝑇/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𝜎2𝜋</a:t>
              </a:r>
              <a:r>
                <a:rPr lang="en-GB" sz="1100" b="0" i="0">
                  <a:latin typeface="Cambria Math" panose="02040503050406030204" pitchFamily="18" charset="0"/>
                </a:rPr>
                <a:t>(𝑅/𝐿))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88900</xdr:rowOff>
    </xdr:from>
    <xdr:to>
      <xdr:col>7</xdr:col>
      <xdr:colOff>234950</xdr:colOff>
      <xdr:row>18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C63A70-B270-5192-818E-EB89F3E83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474662</xdr:colOff>
      <xdr:row>0</xdr:row>
      <xdr:rowOff>554037</xdr:rowOff>
    </xdr:from>
    <xdr:to>
      <xdr:col>13</xdr:col>
      <xdr:colOff>153987</xdr:colOff>
      <xdr:row>15</xdr:row>
      <xdr:rowOff>169862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62F7AF-3490-3A1E-022D-34C579B0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</xdr:row>
      <xdr:rowOff>158750</xdr:rowOff>
    </xdr:from>
    <xdr:to>
      <xdr:col>0</xdr:col>
      <xdr:colOff>1065068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704273"/>
          <a:ext cx="925368" cy="175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6</xdr:row>
      <xdr:rowOff>25400</xdr:rowOff>
    </xdr:from>
    <xdr:to>
      <xdr:col>0</xdr:col>
      <xdr:colOff>948170</xdr:colOff>
      <xdr:row>7</xdr:row>
      <xdr:rowOff>181841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1116445"/>
          <a:ext cx="846570" cy="338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25400</xdr:colOff>
      <xdr:row>10</xdr:row>
      <xdr:rowOff>6350</xdr:rowOff>
    </xdr:from>
    <xdr:to>
      <xdr:col>0</xdr:col>
      <xdr:colOff>1095375</xdr:colOff>
      <xdr:row>12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824759"/>
          <a:ext cx="1069975" cy="433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44451</xdr:colOff>
      <xdr:row>12</xdr:row>
      <xdr:rowOff>82550</xdr:rowOff>
    </xdr:from>
    <xdr:to>
      <xdr:col>0</xdr:col>
      <xdr:colOff>1255569</xdr:colOff>
      <xdr:row>14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1" y="2264641"/>
          <a:ext cx="1211118" cy="433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288302</xdr:colOff>
      <xdr:row>2</xdr:row>
      <xdr:rowOff>127000</xdr:rowOff>
    </xdr:from>
    <xdr:to>
      <xdr:col>10</xdr:col>
      <xdr:colOff>616166</xdr:colOff>
      <xdr:row>35</xdr:row>
      <xdr:rowOff>140127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B2E7E30-F625-CA83-E469-77170601D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702" y="482600"/>
          <a:ext cx="2969464" cy="5880527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</xdr:row>
      <xdr:rowOff>133350</xdr:rowOff>
    </xdr:from>
    <xdr:to>
      <xdr:col>15</xdr:col>
      <xdr:colOff>288124</xdr:colOff>
      <xdr:row>34</xdr:row>
      <xdr:rowOff>158750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0B8933C-1849-66C5-D723-A8B918D26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1550" y="488950"/>
          <a:ext cx="2872574" cy="5715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197485</xdr:colOff>
      <xdr:row>19</xdr:row>
      <xdr:rowOff>295275</xdr:rowOff>
    </xdr:from>
    <xdr:to>
      <xdr:col>1</xdr:col>
      <xdr:colOff>802681</xdr:colOff>
      <xdr:row>21</xdr:row>
      <xdr:rowOff>19910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D2FF6-C3BE-4259-8B2C-CE03CE58F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60" y="3810000"/>
          <a:ext cx="605196" cy="21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68580</xdr:colOff>
      <xdr:row>20</xdr:row>
      <xdr:rowOff>0</xdr:rowOff>
    </xdr:from>
    <xdr:ext cx="835357" cy="201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AC4DEB-4A9E-4781-A182-61254C5B2149}"/>
                </a:ext>
              </a:extLst>
            </xdr:cNvPr>
            <xdr:cNvSpPr txBox="1"/>
          </xdr:nvSpPr>
          <xdr:spPr>
            <a:xfrm>
              <a:off x="3141980" y="4330700"/>
              <a:ext cx="835357" cy="201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box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AC4DEB-4A9E-4781-A182-61254C5B2149}"/>
                </a:ext>
              </a:extLst>
            </xdr:cNvPr>
            <xdr:cNvSpPr txBox="1"/>
          </xdr:nvSpPr>
          <xdr:spPr>
            <a:xfrm>
              <a:off x="3141980" y="4330700"/>
              <a:ext cx="835357" cy="201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𝑃=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□(64&amp;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1/2)𝑐_𝑃 𝜌𝐴𝑈^3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939658</xdr:colOff>
      <xdr:row>10</xdr:row>
      <xdr:rowOff>109214</xdr:rowOff>
    </xdr:from>
    <xdr:ext cx="1932496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AFBA10E-A2AD-4B5C-9F7B-98A99457BD82}"/>
                </a:ext>
              </a:extLst>
            </xdr:cNvPr>
            <xdr:cNvSpPr txBox="1"/>
          </xdr:nvSpPr>
          <xdr:spPr>
            <a:xfrm>
              <a:off x="5313831" y="2563733"/>
              <a:ext cx="1932496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𝑆𝑝𝑒𝑐𝑖𝑓𝑖𝑐</m:t>
                    </m:r>
                    <m:r>
                      <a:rPr lang="en-GB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altLang="zh-C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𝑃𝑜𝑤𝑒𝑟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𝑃𝑜𝑤𝑒𝑟</m:t>
                        </m:r>
                      </m:num>
                      <m:den>
                        <m:r>
                          <a:rPr lang="en-GB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𝑆𝑤𝑒𝑝𝑡</m:t>
                        </m:r>
                        <m:r>
                          <a:rPr lang="en-GB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GB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𝐴𝑟𝑒𝑎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AFBA10E-A2AD-4B5C-9F7B-98A99457BD82}"/>
                </a:ext>
              </a:extLst>
            </xdr:cNvPr>
            <xdr:cNvSpPr txBox="1"/>
          </xdr:nvSpPr>
          <xdr:spPr>
            <a:xfrm>
              <a:off x="5313831" y="2563733"/>
              <a:ext cx="1932496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𝑆𝑝𝑒𝑐𝑖𝑓𝑖𝑐 𝑃𝑜𝑤𝑒𝑟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𝑃𝑜𝑤𝑒𝑟/(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𝑆𝑤𝑒𝑝𝑡 𝐴𝑟𝑒𝑎</a:t>
              </a:r>
              <a:r>
                <a:rPr lang="en-GB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10</xdr:col>
      <xdr:colOff>254906</xdr:colOff>
      <xdr:row>20</xdr:row>
      <xdr:rowOff>144194</xdr:rowOff>
    </xdr:from>
    <xdr:to>
      <xdr:col>19</xdr:col>
      <xdr:colOff>121228</xdr:colOff>
      <xdr:row>43</xdr:row>
      <xdr:rowOff>152689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2BC2C-1CA6-4E66-9F3F-1EC802172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288637</xdr:colOff>
      <xdr:row>70</xdr:row>
      <xdr:rowOff>4020</xdr:rowOff>
    </xdr:from>
    <xdr:to>
      <xdr:col>19</xdr:col>
      <xdr:colOff>219654</xdr:colOff>
      <xdr:row>92</xdr:row>
      <xdr:rowOff>11978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52F745-6728-4425-AFBA-87B2E27D8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250141</xdr:colOff>
      <xdr:row>45</xdr:row>
      <xdr:rowOff>158916</xdr:rowOff>
    </xdr:from>
    <xdr:to>
      <xdr:col>19</xdr:col>
      <xdr:colOff>165533</xdr:colOff>
      <xdr:row>67</xdr:row>
      <xdr:rowOff>66097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3E6332-9784-49D2-8709-204202DFD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311828</xdr:colOff>
      <xdr:row>96</xdr:row>
      <xdr:rowOff>9978</xdr:rowOff>
    </xdr:from>
    <xdr:to>
      <xdr:col>19</xdr:col>
      <xdr:colOff>217714</xdr:colOff>
      <xdr:row>115</xdr:row>
      <xdr:rowOff>40821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EEBBF-10DD-4148-ACB8-8516B340C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420341</xdr:colOff>
      <xdr:row>88</xdr:row>
      <xdr:rowOff>172276</xdr:rowOff>
    </xdr:from>
    <xdr:to>
      <xdr:col>4</xdr:col>
      <xdr:colOff>479424</xdr:colOff>
      <xdr:row>120</xdr:row>
      <xdr:rowOff>116305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D10E854-BBAB-5B04-E386-E53DFFE0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0341" y="16421926"/>
          <a:ext cx="5164483" cy="5735229"/>
        </a:xfrm>
        <a:prstGeom prst="rect">
          <a:avLst/>
        </a:prstGeom>
      </xdr:spPr>
    </xdr:pic>
    <xdr:clientData/>
  </xdr:twoCellAnchor>
  <xdr:twoCellAnchor>
    <xdr:from>
      <xdr:col>10</xdr:col>
      <xdr:colOff>322487</xdr:colOff>
      <xdr:row>118</xdr:row>
      <xdr:rowOff>106587</xdr:rowOff>
    </xdr:from>
    <xdr:to>
      <xdr:col>19</xdr:col>
      <xdr:colOff>301625</xdr:colOff>
      <xdr:row>138</xdr:row>
      <xdr:rowOff>152399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AAF1575-7648-CA11-768F-404D8424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363536</xdr:colOff>
      <xdr:row>141</xdr:row>
      <xdr:rowOff>163512</xdr:rowOff>
    </xdr:from>
    <xdr:to>
      <xdr:col>19</xdr:col>
      <xdr:colOff>363681</xdr:colOff>
      <xdr:row>164</xdr:row>
      <xdr:rowOff>121227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E26A7EA-D123-97D5-0FEF-5A5CCDD5E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107763</xdr:colOff>
      <xdr:row>39</xdr:row>
      <xdr:rowOff>107278</xdr:rowOff>
    </xdr:from>
    <xdr:ext cx="1047082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7A4C650-D1E2-47BE-A634-61B585E6417A}"/>
                </a:ext>
              </a:extLst>
            </xdr:cNvPr>
            <xdr:cNvSpPr txBox="1"/>
          </xdr:nvSpPr>
          <xdr:spPr>
            <a:xfrm>
              <a:off x="5470338" y="7641553"/>
              <a:ext cx="1047082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𝐿𝐶𝑜𝐸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7A4C650-D1E2-47BE-A634-61B585E6417A}"/>
                </a:ext>
              </a:extLst>
            </xdr:cNvPr>
            <xdr:cNvSpPr txBox="1"/>
          </xdr:nvSpPr>
          <xdr:spPr>
            <a:xfrm>
              <a:off x="5470338" y="7641553"/>
              <a:ext cx="1047082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𝐿𝐶𝑜𝐸=𝐶/(𝑆_𝑛 𝐸)+𝑂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3</xdr:col>
      <xdr:colOff>95399</xdr:colOff>
      <xdr:row>38</xdr:row>
      <xdr:rowOff>187</xdr:rowOff>
    </xdr:from>
    <xdr:ext cx="169065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FC4CD4C-1447-4184-9567-4E7A293CE7B2}"/>
                </a:ext>
              </a:extLst>
            </xdr:cNvPr>
            <xdr:cNvSpPr txBox="1"/>
          </xdr:nvSpPr>
          <xdr:spPr>
            <a:xfrm>
              <a:off x="5457974" y="7353487"/>
              <a:ext cx="1690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[1−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</m:d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FC4CD4C-1447-4184-9567-4E7A293CE7B2}"/>
                </a:ext>
              </a:extLst>
            </xdr:cNvPr>
            <xdr:cNvSpPr txBox="1"/>
          </xdr:nvSpPr>
          <xdr:spPr>
            <a:xfrm>
              <a:off x="5457974" y="7353487"/>
              <a:ext cx="16906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𝑆_𝑛=1+1/𝑟[1−(1+𝑟)^(1−𝑛)]</a:t>
              </a:r>
              <a:endParaRPr lang="en-US" altLang="zh-CN" sz="1100" b="0"/>
            </a:p>
          </xdr:txBody>
        </xdr:sp>
      </mc:Fallback>
    </mc:AlternateContent>
    <xdr:clientData/>
  </xdr:oneCellAnchor>
  <xdr:twoCellAnchor editAs="oneCell">
    <xdr:from>
      <xdr:col>4</xdr:col>
      <xdr:colOff>655553</xdr:colOff>
      <xdr:row>4</xdr:row>
      <xdr:rowOff>45141</xdr:rowOff>
    </xdr:from>
    <xdr:to>
      <xdr:col>7</xdr:col>
      <xdr:colOff>760983</xdr:colOff>
      <xdr:row>17</xdr:row>
      <xdr:rowOff>63501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D1C2604-1220-304C-C950-6A23635B3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678" y="1245291"/>
          <a:ext cx="4172605" cy="2374210"/>
        </a:xfrm>
        <a:prstGeom prst="rect">
          <a:avLst/>
        </a:prstGeom>
      </xdr:spPr>
    </xdr:pic>
    <xdr:clientData/>
  </xdr:twoCellAnchor>
  <xdr:twoCellAnchor editAs="oneCell">
    <xdr:from>
      <xdr:col>4</xdr:col>
      <xdr:colOff>654788</xdr:colOff>
      <xdr:row>18</xdr:row>
      <xdr:rowOff>31749</xdr:rowOff>
    </xdr:from>
    <xdr:to>
      <xdr:col>7</xdr:col>
      <xdr:colOff>857250</xdr:colOff>
      <xdr:row>31</xdr:row>
      <xdr:rowOff>66740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F9E5C8E-1639-7BEF-3842-6D1D27AB6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9913" y="3794124"/>
          <a:ext cx="4269637" cy="238766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44</xdr:row>
      <xdr:rowOff>66675</xdr:rowOff>
    </xdr:from>
    <xdr:to>
      <xdr:col>9</xdr:col>
      <xdr:colOff>332195</xdr:colOff>
      <xdr:row>55</xdr:row>
      <xdr:rowOff>120755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EB45023-0C15-92A4-1299-36949E22E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9750" y="8534400"/>
          <a:ext cx="5135970" cy="2047980"/>
        </a:xfrm>
        <a:prstGeom prst="rect">
          <a:avLst/>
        </a:prstGeom>
      </xdr:spPr>
    </xdr:pic>
    <xdr:clientData/>
  </xdr:twoCellAnchor>
  <xdr:twoCellAnchor>
    <xdr:from>
      <xdr:col>0</xdr:col>
      <xdr:colOff>721483</xdr:colOff>
      <xdr:row>53</xdr:row>
      <xdr:rowOff>164203</xdr:rowOff>
    </xdr:from>
    <xdr:to>
      <xdr:col>3</xdr:col>
      <xdr:colOff>1269171</xdr:colOff>
      <xdr:row>66</xdr:row>
      <xdr:rowOff>83241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11F6C12-3DC2-50D2-8200-44103713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23osti/84774.pdf" TargetMode="External"/><Relationship Id="rId3" Type="http://schemas.openxmlformats.org/officeDocument/2006/relationships/hyperlink" Target="https://www.misterconcrete.co.uk/ready-mix-concrete-prices" TargetMode="External"/><Relationship Id="rId7" Type="http://schemas.openxmlformats.org/officeDocument/2006/relationships/hyperlink" Target="https://www.gov.uk/government/publications/dhsc-group-accounting-manual-2021-to-2022/department-of-health-and-social-care-group-accounting-manual-2021-to-2022-additional-guidance-version-1" TargetMode="External"/><Relationship Id="rId2" Type="http://schemas.openxmlformats.org/officeDocument/2006/relationships/hyperlink" Target="https://tradingeconomics.com/commodities" TargetMode="External"/><Relationship Id="rId1" Type="http://schemas.openxmlformats.org/officeDocument/2006/relationships/hyperlink" Target="https://tradingeconomics.com/commodities" TargetMode="External"/><Relationship Id="rId6" Type="http://schemas.openxmlformats.org/officeDocument/2006/relationships/hyperlink" Target="https://www.renewablesfirst.co.uk/home/renewable-energy-technologies/windpower/windpower-learning-centre/how-much-does-a-wind-turbine-cost/" TargetMode="External"/><Relationship Id="rId5" Type="http://schemas.openxmlformats.org/officeDocument/2006/relationships/hyperlink" Target="https://www.nrel.gov/docs/fy19osti/73585.pdf" TargetMode="External"/><Relationship Id="rId4" Type="http://schemas.openxmlformats.org/officeDocument/2006/relationships/hyperlink" Target="https://tradingeconomics.com/commodities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newablesfirst.co.uk/home/renewable-energy-technologies/windpower/windpower-learning-centre/how-much-does-a-wind-turbine-cost/" TargetMode="External"/><Relationship Id="rId2" Type="http://schemas.openxmlformats.org/officeDocument/2006/relationships/hyperlink" Target="https://www.gov.uk/government/publications/dhsc-group-accounting-manual-2021-to-2022/department-of-health-and-social-care-group-accounting-manual-2021-to-2022-additional-guidance-version-1" TargetMode="External"/><Relationship Id="rId1" Type="http://schemas.openxmlformats.org/officeDocument/2006/relationships/hyperlink" Target="https://www.nrel.gov/docs/fy23osti/84774.pdf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radingeconomics.com/commoditi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tradingeconomics.com/commoditi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misterconcrete.co.uk/ready-mix-concrete-pric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A99D-CA6A-4198-8A14-E14F94D4B7C1}">
  <dimension ref="A1:Z474"/>
  <sheetViews>
    <sheetView tabSelected="1" topLeftCell="A431" zoomScaleNormal="100" workbookViewId="0">
      <selection activeCell="A338" sqref="A338:A353"/>
    </sheetView>
  </sheetViews>
  <sheetFormatPr defaultRowHeight="14" x14ac:dyDescent="0.3"/>
  <cols>
    <col min="1" max="1" width="43" customWidth="1"/>
    <col min="2" max="2" width="23.83203125" customWidth="1"/>
    <col min="3" max="3" width="10.9140625" customWidth="1"/>
    <col min="4" max="4" width="23.75" customWidth="1"/>
    <col min="5" max="5" width="19.6640625" customWidth="1"/>
    <col min="6" max="6" width="11.5" customWidth="1"/>
    <col min="7" max="7" width="51.08203125" customWidth="1"/>
    <col min="9" max="9" width="12.1640625" customWidth="1"/>
    <col min="10" max="10" width="10.33203125" customWidth="1"/>
    <col min="11" max="11" width="11.25" customWidth="1"/>
    <col min="12" max="12" width="11.4140625" customWidth="1"/>
  </cols>
  <sheetData>
    <row r="1" spans="1:4" ht="18" thickBot="1" x14ac:dyDescent="0.4">
      <c r="A1" s="281" t="s">
        <v>480</v>
      </c>
    </row>
    <row r="2" spans="1:4" x14ac:dyDescent="0.3">
      <c r="A2" s="339" t="s">
        <v>3</v>
      </c>
      <c r="B2" s="330">
        <v>4500000</v>
      </c>
      <c r="C2" s="331" t="s">
        <v>4</v>
      </c>
      <c r="D2" s="40"/>
    </row>
    <row r="3" spans="1:4" x14ac:dyDescent="0.3">
      <c r="A3" s="340" t="s">
        <v>5</v>
      </c>
      <c r="B3" s="332">
        <v>11.78312</v>
      </c>
      <c r="C3" s="333" t="s">
        <v>6</v>
      </c>
      <c r="D3" s="40"/>
    </row>
    <row r="4" spans="1:4" x14ac:dyDescent="0.3">
      <c r="A4" s="340" t="s">
        <v>7</v>
      </c>
      <c r="B4" s="332">
        <v>1.2250000000000001</v>
      </c>
      <c r="C4" s="333" t="s">
        <v>8</v>
      </c>
      <c r="D4" s="40"/>
    </row>
    <row r="5" spans="1:4" x14ac:dyDescent="0.3">
      <c r="A5" s="340" t="s">
        <v>10</v>
      </c>
      <c r="B5" s="332">
        <v>0.44</v>
      </c>
      <c r="C5" s="333"/>
      <c r="D5" s="40" t="s">
        <v>384</v>
      </c>
    </row>
    <row r="6" spans="1:4" x14ac:dyDescent="0.3">
      <c r="A6" s="340"/>
      <c r="B6" s="332"/>
      <c r="C6" s="333"/>
      <c r="D6" s="40"/>
    </row>
    <row r="7" spans="1:4" x14ac:dyDescent="0.3">
      <c r="A7" s="340" t="s">
        <v>11</v>
      </c>
      <c r="B7" s="334">
        <f>SQRT(2*B2/(B4*PI()*B3^3*B5))</f>
        <v>56.998245148811002</v>
      </c>
      <c r="C7" s="333" t="s">
        <v>12</v>
      </c>
      <c r="D7" s="40"/>
    </row>
    <row r="8" spans="1:4" x14ac:dyDescent="0.3">
      <c r="A8" s="340" t="s">
        <v>13</v>
      </c>
      <c r="B8" s="332">
        <v>63</v>
      </c>
      <c r="C8" s="333" t="s">
        <v>12</v>
      </c>
      <c r="D8" s="40"/>
    </row>
    <row r="9" spans="1:4" x14ac:dyDescent="0.3">
      <c r="A9" s="340" t="s">
        <v>14</v>
      </c>
      <c r="B9" s="335">
        <f>B7/B8</f>
        <v>0.90473404998112705</v>
      </c>
      <c r="C9" s="333"/>
      <c r="D9" s="40"/>
    </row>
    <row r="10" spans="1:4" x14ac:dyDescent="0.3">
      <c r="A10" s="340"/>
      <c r="B10" s="332"/>
      <c r="C10" s="333"/>
      <c r="D10" s="40"/>
    </row>
    <row r="11" spans="1:4" x14ac:dyDescent="0.3">
      <c r="A11" s="340" t="s">
        <v>15</v>
      </c>
      <c r="B11" s="332">
        <v>1.5</v>
      </c>
      <c r="C11" s="333" t="s">
        <v>12</v>
      </c>
      <c r="D11" s="40"/>
    </row>
    <row r="12" spans="1:4" x14ac:dyDescent="0.3">
      <c r="A12" s="340" t="s">
        <v>16</v>
      </c>
      <c r="B12" s="336">
        <f>B11*B9</f>
        <v>1.3571010749716905</v>
      </c>
      <c r="C12" s="333" t="s">
        <v>12</v>
      </c>
      <c r="D12" s="40"/>
    </row>
    <row r="13" spans="1:4" x14ac:dyDescent="0.3">
      <c r="A13" s="340"/>
      <c r="B13" s="332"/>
      <c r="C13" s="333"/>
      <c r="D13" s="40"/>
    </row>
    <row r="14" spans="1:4" x14ac:dyDescent="0.3">
      <c r="A14" s="340" t="s">
        <v>17</v>
      </c>
      <c r="B14" s="332">
        <f>B8-B11</f>
        <v>61.5</v>
      </c>
      <c r="C14" s="333" t="s">
        <v>12</v>
      </c>
      <c r="D14" s="40"/>
    </row>
    <row r="15" spans="1:4" ht="14.5" thickBot="1" x14ac:dyDescent="0.35">
      <c r="A15" s="341" t="s">
        <v>18</v>
      </c>
      <c r="B15" s="337">
        <f>B14*B9</f>
        <v>55.641144073839314</v>
      </c>
      <c r="C15" s="338" t="s">
        <v>12</v>
      </c>
      <c r="D15" s="40"/>
    </row>
    <row r="17" spans="1:2" ht="18" x14ac:dyDescent="0.4">
      <c r="A17" s="283" t="s">
        <v>481</v>
      </c>
    </row>
    <row r="18" spans="1:2" x14ac:dyDescent="0.3">
      <c r="A18" t="str">
        <f>'cp-lambda data from Ashes'!E2</f>
        <v>cp_max</v>
      </c>
      <c r="B18">
        <f>'cp-lambda data from Ashes'!F2</f>
        <v>0.488923</v>
      </c>
    </row>
    <row r="19" spans="1:2" x14ac:dyDescent="0.3">
      <c r="A19" t="str">
        <f>'cp-lambda data from Ashes'!E3</f>
        <v>lambda_optimal</v>
      </c>
      <c r="B19">
        <f>'cp-lambda data from Ashes'!F3</f>
        <v>8.1</v>
      </c>
    </row>
    <row r="40" spans="1:3" ht="18" thickBot="1" x14ac:dyDescent="0.4">
      <c r="A40" s="281" t="s">
        <v>482</v>
      </c>
    </row>
    <row r="41" spans="1:3" x14ac:dyDescent="0.3">
      <c r="A41" s="222" t="s">
        <v>20</v>
      </c>
      <c r="B41" s="109">
        <v>78</v>
      </c>
      <c r="C41" s="110" t="s">
        <v>6</v>
      </c>
    </row>
    <row r="42" spans="1:3" x14ac:dyDescent="0.3">
      <c r="A42" s="101" t="s">
        <v>21</v>
      </c>
      <c r="B42" s="42">
        <f>'WT Scale'!B15</f>
        <v>56.998245148811002</v>
      </c>
      <c r="C42" s="77" t="s">
        <v>12</v>
      </c>
    </row>
    <row r="43" spans="1:3" x14ac:dyDescent="0.3">
      <c r="A43" s="101" t="s">
        <v>22</v>
      </c>
      <c r="B43" s="41">
        <f>B41/B42</f>
        <v>1.3684631833200762</v>
      </c>
      <c r="C43" s="77" t="s">
        <v>23</v>
      </c>
    </row>
    <row r="44" spans="1:3" x14ac:dyDescent="0.3">
      <c r="A44" s="101" t="s">
        <v>24</v>
      </c>
      <c r="B44" s="42">
        <f>B43/2/PI()*60</f>
        <v>13.06786080387964</v>
      </c>
      <c r="C44" s="77" t="s">
        <v>25</v>
      </c>
    </row>
    <row r="45" spans="1:3" x14ac:dyDescent="0.3">
      <c r="A45" s="101"/>
      <c r="B45" s="40"/>
      <c r="C45" s="77"/>
    </row>
    <row r="46" spans="1:3" x14ac:dyDescent="0.3">
      <c r="A46" s="101" t="s">
        <v>26</v>
      </c>
      <c r="B46" s="118">
        <f>'cp-lambda data from Ashes'!F2</f>
        <v>0.488923</v>
      </c>
      <c r="C46" s="77"/>
    </row>
    <row r="47" spans="1:3" x14ac:dyDescent="0.3">
      <c r="A47" s="101" t="s">
        <v>27</v>
      </c>
      <c r="B47" s="40">
        <f>'cp-lambda data from Ashes'!F3</f>
        <v>8.1</v>
      </c>
      <c r="C47" s="77"/>
    </row>
    <row r="48" spans="1:3" x14ac:dyDescent="0.3">
      <c r="A48" s="101"/>
      <c r="B48" s="40"/>
      <c r="C48" s="77"/>
    </row>
    <row r="49" spans="1:5" x14ac:dyDescent="0.3">
      <c r="A49" s="101" t="s">
        <v>5</v>
      </c>
      <c r="B49" s="40">
        <f>'WT Scale'!B11</f>
        <v>11.78312</v>
      </c>
      <c r="C49" s="77" t="s">
        <v>6</v>
      </c>
    </row>
    <row r="50" spans="1:5" ht="14.5" thickBot="1" x14ac:dyDescent="0.35">
      <c r="A50" s="102" t="s">
        <v>28</v>
      </c>
      <c r="B50" s="58">
        <f>30*B47*B49/PI()/B42</f>
        <v>15.990248630292609</v>
      </c>
      <c r="C50" s="79" t="s">
        <v>25</v>
      </c>
    </row>
    <row r="53" spans="1:5" ht="18" thickBot="1" x14ac:dyDescent="0.4">
      <c r="A53" s="281" t="s">
        <v>479</v>
      </c>
    </row>
    <row r="54" spans="1:5" ht="42" x14ac:dyDescent="0.3">
      <c r="A54" s="289" t="s">
        <v>45</v>
      </c>
      <c r="B54" s="290" t="s">
        <v>44</v>
      </c>
      <c r="C54" s="290" t="s">
        <v>483</v>
      </c>
      <c r="D54" s="290" t="s">
        <v>484</v>
      </c>
      <c r="E54" s="291" t="s">
        <v>485</v>
      </c>
    </row>
    <row r="55" spans="1:5" ht="14.5" thickBot="1" x14ac:dyDescent="0.35">
      <c r="A55" s="292" t="s">
        <v>38</v>
      </c>
      <c r="B55" s="293" t="s">
        <v>39</v>
      </c>
      <c r="C55" s="293" t="s">
        <v>39</v>
      </c>
      <c r="D55" s="293" t="s">
        <v>39</v>
      </c>
      <c r="E55" s="294" t="s">
        <v>39</v>
      </c>
    </row>
    <row r="56" spans="1:5" x14ac:dyDescent="0.3">
      <c r="A56" s="284">
        <v>1.236</v>
      </c>
      <c r="B56" s="229">
        <v>8927.4500000000007</v>
      </c>
      <c r="C56" s="229">
        <v>13391.175000000001</v>
      </c>
      <c r="D56" s="229">
        <v>16203.321750000001</v>
      </c>
      <c r="E56" s="230">
        <v>7487.8724453191353</v>
      </c>
    </row>
    <row r="57" spans="1:5" x14ac:dyDescent="0.3">
      <c r="A57" s="285">
        <v>3.7090000000000001</v>
      </c>
      <c r="B57" s="286">
        <v>8189.2</v>
      </c>
      <c r="C57" s="286">
        <v>12283.8</v>
      </c>
      <c r="D57" s="286">
        <v>14863.397999999999</v>
      </c>
      <c r="E57" s="226">
        <v>7124.3925491494656</v>
      </c>
    </row>
    <row r="58" spans="1:5" x14ac:dyDescent="0.3">
      <c r="A58" s="285">
        <v>6.1820000000000004</v>
      </c>
      <c r="B58" s="286">
        <v>7461.64</v>
      </c>
      <c r="C58" s="286">
        <v>11192.460000000001</v>
      </c>
      <c r="D58" s="286">
        <v>13542.876600000001</v>
      </c>
      <c r="E58" s="226">
        <v>6639.9601087283554</v>
      </c>
    </row>
    <row r="59" spans="1:5" x14ac:dyDescent="0.3">
      <c r="A59" s="285">
        <v>9.2729999999999997</v>
      </c>
      <c r="B59" s="286">
        <v>6572.29</v>
      </c>
      <c r="C59" s="286">
        <v>9858.4349999999995</v>
      </c>
      <c r="D59" s="286">
        <v>11928.706349999999</v>
      </c>
      <c r="E59" s="226">
        <v>6095.637037491786</v>
      </c>
    </row>
    <row r="60" spans="1:5" x14ac:dyDescent="0.3">
      <c r="A60" s="285">
        <v>12.983000000000001</v>
      </c>
      <c r="B60" s="286">
        <v>5588.84</v>
      </c>
      <c r="C60" s="286">
        <v>8383.26</v>
      </c>
      <c r="D60" s="286">
        <v>10143.7446</v>
      </c>
      <c r="E60" s="226">
        <v>5432.021493408578</v>
      </c>
    </row>
    <row r="61" spans="1:5" x14ac:dyDescent="0.3">
      <c r="A61" s="285">
        <v>16.692</v>
      </c>
      <c r="B61" s="286">
        <v>4688.21</v>
      </c>
      <c r="C61" s="286">
        <v>7032.3150000000005</v>
      </c>
      <c r="D61" s="286">
        <v>8509.1011500000004</v>
      </c>
      <c r="E61" s="226">
        <v>4722.4383461346852</v>
      </c>
    </row>
    <row r="62" spans="1:5" x14ac:dyDescent="0.3">
      <c r="A62" s="285">
        <v>20.401</v>
      </c>
      <c r="B62" s="286">
        <v>3851.68</v>
      </c>
      <c r="C62" s="286">
        <v>5777.5199999999995</v>
      </c>
      <c r="D62" s="286">
        <v>6990.7991999999995</v>
      </c>
      <c r="E62" s="226">
        <v>4035.4889648794206</v>
      </c>
    </row>
    <row r="63" spans="1:5" x14ac:dyDescent="0.3">
      <c r="A63" s="285">
        <v>24.111000000000001</v>
      </c>
      <c r="B63" s="286">
        <v>3084.64</v>
      </c>
      <c r="C63" s="286">
        <v>4626.96</v>
      </c>
      <c r="D63" s="286">
        <v>5598.6215999999995</v>
      </c>
      <c r="E63" s="226">
        <v>3376.9301361028247</v>
      </c>
    </row>
    <row r="64" spans="1:5" x14ac:dyDescent="0.3">
      <c r="A64" s="285">
        <v>27.82</v>
      </c>
      <c r="B64" s="286">
        <v>2392.4899999999998</v>
      </c>
      <c r="C64" s="286">
        <v>3588.7349999999997</v>
      </c>
      <c r="D64" s="286">
        <v>4342.369349999999</v>
      </c>
      <c r="E64" s="226">
        <v>2753.1461908225506</v>
      </c>
    </row>
    <row r="65" spans="1:9" x14ac:dyDescent="0.3">
      <c r="A65" s="285">
        <v>31.529</v>
      </c>
      <c r="B65" s="286">
        <v>1780.32</v>
      </c>
      <c r="C65" s="286">
        <v>2670.48</v>
      </c>
      <c r="D65" s="286">
        <v>3231.2808</v>
      </c>
      <c r="E65" s="226">
        <v>2172.3137747535675</v>
      </c>
    </row>
    <row r="66" spans="1:9" x14ac:dyDescent="0.3">
      <c r="A66" s="285">
        <v>35.238999999999997</v>
      </c>
      <c r="B66" s="286">
        <v>1254.96</v>
      </c>
      <c r="C66" s="286">
        <v>1882.44</v>
      </c>
      <c r="D66" s="286">
        <v>2277.7523999999999</v>
      </c>
      <c r="E66" s="226">
        <v>1641.9050872102575</v>
      </c>
    </row>
    <row r="67" spans="1:9" x14ac:dyDescent="0.3">
      <c r="A67" s="285">
        <v>38.948</v>
      </c>
      <c r="B67" s="286">
        <v>821.053</v>
      </c>
      <c r="C67" s="286">
        <v>1231.5795000000001</v>
      </c>
      <c r="D67" s="286">
        <v>1490.2111950000001</v>
      </c>
      <c r="E67" s="226">
        <v>1171.1914348622006</v>
      </c>
    </row>
    <row r="68" spans="1:9" x14ac:dyDescent="0.3">
      <c r="A68" s="285">
        <v>42.656999999999996</v>
      </c>
      <c r="B68" s="286">
        <v>479.053</v>
      </c>
      <c r="C68" s="286">
        <v>718.57950000000005</v>
      </c>
      <c r="D68" s="286">
        <v>869.48119500000007</v>
      </c>
      <c r="E68" s="226">
        <v>769.10878352581972</v>
      </c>
    </row>
    <row r="69" spans="1:9" x14ac:dyDescent="0.3">
      <c r="A69" s="285">
        <v>46.366999999999997</v>
      </c>
      <c r="B69" s="286">
        <v>228.59899999999999</v>
      </c>
      <c r="C69" s="286">
        <v>342.89850000000001</v>
      </c>
      <c r="D69" s="286">
        <v>414.90718500000003</v>
      </c>
      <c r="E69" s="226">
        <v>440.42734559547279</v>
      </c>
    </row>
    <row r="70" spans="1:9" x14ac:dyDescent="0.3">
      <c r="A70" s="285">
        <v>49.457999999999998</v>
      </c>
      <c r="B70" s="286">
        <v>88.604100000000003</v>
      </c>
      <c r="C70" s="286">
        <v>132.90615</v>
      </c>
      <c r="D70" s="286">
        <v>160.8164415</v>
      </c>
      <c r="E70" s="226">
        <v>212.99318261575129</v>
      </c>
    </row>
    <row r="71" spans="1:9" x14ac:dyDescent="0.3">
      <c r="A71" s="285">
        <v>51.930999999999997</v>
      </c>
      <c r="B71" s="286">
        <v>24.621300000000002</v>
      </c>
      <c r="C71" s="286">
        <v>36.931950000000001</v>
      </c>
      <c r="D71" s="286">
        <v>44.687659500000002</v>
      </c>
      <c r="E71" s="226">
        <v>100.57325879097601</v>
      </c>
    </row>
    <row r="72" spans="1:9" x14ac:dyDescent="0.3">
      <c r="A72" s="285">
        <v>54.404000000000003</v>
      </c>
      <c r="B72" s="286">
        <v>1.21929</v>
      </c>
      <c r="C72" s="286">
        <v>1.828935</v>
      </c>
      <c r="D72" s="286">
        <v>2.2130113499999999</v>
      </c>
      <c r="E72" s="226">
        <v>25.525808888560146</v>
      </c>
    </row>
    <row r="73" spans="1:9" ht="14.5" thickBot="1" x14ac:dyDescent="0.35">
      <c r="A73" s="287">
        <v>55.64</v>
      </c>
      <c r="B73" s="227">
        <v>7.1024900000000003E-6</v>
      </c>
      <c r="C73" s="227">
        <v>1.0653735E-5</v>
      </c>
      <c r="D73" s="227">
        <v>1.289101935E-5</v>
      </c>
      <c r="E73" s="228">
        <v>2.3327830392455589</v>
      </c>
    </row>
    <row r="74" spans="1:9" x14ac:dyDescent="0.3">
      <c r="I74" s="225" t="s">
        <v>530</v>
      </c>
    </row>
    <row r="77" spans="1:9" ht="14.5" thickBot="1" x14ac:dyDescent="0.35">
      <c r="A77" s="304" t="s">
        <v>507</v>
      </c>
      <c r="B77" s="288"/>
      <c r="C77" s="288"/>
      <c r="D77" s="288"/>
      <c r="E77" s="288"/>
      <c r="F77" s="288"/>
      <c r="G77" s="288"/>
      <c r="H77" s="288"/>
    </row>
    <row r="78" spans="1:9" x14ac:dyDescent="0.3">
      <c r="A78" s="289" t="s">
        <v>508</v>
      </c>
      <c r="B78" s="290" t="s">
        <v>509</v>
      </c>
      <c r="C78" s="290"/>
      <c r="D78" s="290" t="s">
        <v>510</v>
      </c>
      <c r="E78" s="305" t="s">
        <v>511</v>
      </c>
      <c r="F78" s="305"/>
      <c r="G78" s="305" t="s">
        <v>501</v>
      </c>
      <c r="H78" s="306"/>
    </row>
    <row r="79" spans="1:9" x14ac:dyDescent="0.3">
      <c r="A79" s="292" t="s">
        <v>512</v>
      </c>
      <c r="B79" s="286">
        <v>38</v>
      </c>
      <c r="C79" s="286" t="s">
        <v>513</v>
      </c>
      <c r="D79" s="286">
        <v>0.66666666666666663</v>
      </c>
      <c r="E79" s="286">
        <v>1840</v>
      </c>
      <c r="F79" s="286" t="s">
        <v>514</v>
      </c>
      <c r="G79" s="286">
        <v>1.87</v>
      </c>
      <c r="H79" s="226" t="s">
        <v>502</v>
      </c>
    </row>
    <row r="80" spans="1:9" x14ac:dyDescent="0.3">
      <c r="A80" s="292" t="s">
        <v>515</v>
      </c>
      <c r="B80" s="286">
        <v>130</v>
      </c>
      <c r="C80" s="286" t="s">
        <v>513</v>
      </c>
      <c r="D80" s="286">
        <v>0.33333333333333331</v>
      </c>
      <c r="E80" s="286">
        <v>1500</v>
      </c>
      <c r="F80" s="286" t="s">
        <v>514</v>
      </c>
      <c r="G80" s="286">
        <v>30</v>
      </c>
      <c r="H80" s="226" t="s">
        <v>502</v>
      </c>
    </row>
    <row r="81" spans="1:22" ht="14.5" thickBot="1" x14ac:dyDescent="0.35">
      <c r="A81" s="342" t="s">
        <v>516</v>
      </c>
      <c r="B81" s="227">
        <v>68.666666666666657</v>
      </c>
      <c r="C81" s="227" t="s">
        <v>513</v>
      </c>
      <c r="D81" s="227"/>
      <c r="E81" s="227">
        <v>1726.6666666666665</v>
      </c>
      <c r="F81" s="227" t="s">
        <v>514</v>
      </c>
      <c r="G81" s="227">
        <v>11.246666666666666</v>
      </c>
      <c r="H81" s="228" t="s">
        <v>502</v>
      </c>
    </row>
    <row r="83" spans="1:22" ht="16" thickBot="1" x14ac:dyDescent="0.4">
      <c r="A83" s="299" t="s">
        <v>493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</row>
    <row r="84" spans="1:22" ht="42" x14ac:dyDescent="0.3">
      <c r="A84" s="289" t="s">
        <v>486</v>
      </c>
      <c r="B84" s="290" t="s">
        <v>487</v>
      </c>
      <c r="C84" s="290" t="s">
        <v>45</v>
      </c>
      <c r="D84" s="290" t="s">
        <v>484</v>
      </c>
      <c r="E84" s="290" t="s">
        <v>488</v>
      </c>
      <c r="F84" s="290" t="s">
        <v>489</v>
      </c>
      <c r="G84" s="290" t="s">
        <v>43</v>
      </c>
      <c r="H84" s="290" t="s">
        <v>42</v>
      </c>
      <c r="I84" s="290" t="s">
        <v>41</v>
      </c>
      <c r="J84" s="290" t="s">
        <v>40</v>
      </c>
      <c r="K84" s="291" t="s">
        <v>381</v>
      </c>
      <c r="L84" s="288" t="s">
        <v>490</v>
      </c>
      <c r="M84" s="289" t="s">
        <v>300</v>
      </c>
      <c r="N84" s="290" t="s">
        <v>491</v>
      </c>
      <c r="O84" s="291" t="s">
        <v>298</v>
      </c>
      <c r="Q84" s="289" t="s">
        <v>486</v>
      </c>
      <c r="R84" s="290" t="s">
        <v>494</v>
      </c>
      <c r="S84" s="290" t="s">
        <v>42</v>
      </c>
      <c r="T84" s="290" t="s">
        <v>41</v>
      </c>
      <c r="U84" s="290" t="s">
        <v>495</v>
      </c>
      <c r="V84" s="291" t="s">
        <v>496</v>
      </c>
    </row>
    <row r="85" spans="1:22" ht="14.5" thickBot="1" x14ac:dyDescent="0.35">
      <c r="A85" s="296"/>
      <c r="B85" s="297"/>
      <c r="C85" s="297" t="s">
        <v>38</v>
      </c>
      <c r="D85" s="297" t="s">
        <v>39</v>
      </c>
      <c r="E85" s="297" t="s">
        <v>38</v>
      </c>
      <c r="F85" s="297" t="s">
        <v>319</v>
      </c>
      <c r="G85" s="297" t="s">
        <v>38</v>
      </c>
      <c r="H85" s="297" t="s">
        <v>38</v>
      </c>
      <c r="I85" s="297" t="s">
        <v>37</v>
      </c>
      <c r="J85" s="297" t="s">
        <v>36</v>
      </c>
      <c r="K85" s="298" t="s">
        <v>492</v>
      </c>
      <c r="L85" s="295">
        <v>200</v>
      </c>
      <c r="M85" s="296" t="s">
        <v>38</v>
      </c>
      <c r="N85" s="297" t="s">
        <v>38</v>
      </c>
      <c r="O85" s="298" t="s">
        <v>38</v>
      </c>
      <c r="Q85" s="296"/>
      <c r="R85" s="297" t="s">
        <v>38</v>
      </c>
      <c r="S85" s="297" t="s">
        <v>38</v>
      </c>
      <c r="T85" s="297" t="s">
        <v>37</v>
      </c>
      <c r="U85" s="297" t="s">
        <v>497</v>
      </c>
      <c r="V85" s="298" t="s">
        <v>498</v>
      </c>
    </row>
    <row r="86" spans="1:22" x14ac:dyDescent="0.3">
      <c r="A86" s="343">
        <v>2</v>
      </c>
      <c r="B86" s="293" t="s">
        <v>47</v>
      </c>
      <c r="C86" s="286">
        <v>1.236</v>
      </c>
      <c r="D86" s="286">
        <v>16203.321750000001</v>
      </c>
      <c r="E86" s="286">
        <v>3.2050000000000001</v>
      </c>
      <c r="F86" s="286">
        <v>1</v>
      </c>
      <c r="G86" s="286">
        <v>3.2050000000000001</v>
      </c>
      <c r="H86" s="286">
        <v>0.53400000000000003</v>
      </c>
      <c r="I86" s="286">
        <v>48.825043870326169</v>
      </c>
      <c r="J86" s="286">
        <v>0.12982911552187501</v>
      </c>
      <c r="K86" s="226">
        <v>200000000</v>
      </c>
      <c r="M86" s="285">
        <v>0.53400000000000003</v>
      </c>
      <c r="N86" s="286">
        <v>-0.85573500000000002</v>
      </c>
      <c r="O86" s="226">
        <v>4.0508304375000005E-2</v>
      </c>
      <c r="Q86" s="343">
        <v>2</v>
      </c>
      <c r="R86" s="286">
        <v>1.236</v>
      </c>
      <c r="S86" s="286">
        <v>0.53400000000000003</v>
      </c>
      <c r="T86" s="286">
        <v>48.825043870326169</v>
      </c>
      <c r="U86" s="286">
        <v>3.2225700755468163E-2</v>
      </c>
      <c r="V86" s="226">
        <v>48.338551133202245</v>
      </c>
    </row>
    <row r="87" spans="1:22" x14ac:dyDescent="0.3">
      <c r="A87" s="343">
        <v>3</v>
      </c>
      <c r="B87" s="293" t="s">
        <v>47</v>
      </c>
      <c r="C87" s="286">
        <v>3.7090000000000001</v>
      </c>
      <c r="D87" s="286">
        <v>14863.397999999999</v>
      </c>
      <c r="E87" s="286">
        <v>3.4870000000000001</v>
      </c>
      <c r="F87" s="286">
        <v>1</v>
      </c>
      <c r="G87" s="286">
        <v>3.4870000000000001</v>
      </c>
      <c r="H87" s="286">
        <v>0.53400000000000003</v>
      </c>
      <c r="I87" s="286">
        <v>40.869222829901716</v>
      </c>
      <c r="J87" s="286">
        <v>0.129571672065</v>
      </c>
      <c r="K87" s="226">
        <v>200000000</v>
      </c>
      <c r="M87" s="285">
        <v>0.53400000000000003</v>
      </c>
      <c r="N87" s="286">
        <v>-0.93102900000000011</v>
      </c>
      <c r="O87" s="226">
        <v>3.7158495E-2</v>
      </c>
      <c r="Q87" s="343">
        <v>3</v>
      </c>
      <c r="R87" s="286">
        <v>2.4729999999999999</v>
      </c>
      <c r="S87" s="286">
        <v>0.53400000000000003</v>
      </c>
      <c r="T87" s="286">
        <v>40.869222829901716</v>
      </c>
      <c r="U87" s="286">
        <v>5.3971160023157258E-2</v>
      </c>
      <c r="V87" s="226">
        <v>80.956740034735887</v>
      </c>
    </row>
    <row r="88" spans="1:22" x14ac:dyDescent="0.3">
      <c r="A88" s="343">
        <v>4</v>
      </c>
      <c r="B88" s="293" t="s">
        <v>48</v>
      </c>
      <c r="C88" s="286">
        <v>6.1820000000000004</v>
      </c>
      <c r="D88" s="286">
        <v>13542.876600000001</v>
      </c>
      <c r="E88" s="286">
        <v>3.77</v>
      </c>
      <c r="F88" s="286">
        <v>1</v>
      </c>
      <c r="G88" s="286">
        <v>3.77</v>
      </c>
      <c r="H88" s="286">
        <v>0.53400000000000003</v>
      </c>
      <c r="I88" s="286">
        <v>34.258143629726064</v>
      </c>
      <c r="J88" s="286">
        <v>0.12764161195500001</v>
      </c>
      <c r="K88" s="226">
        <v>200000000</v>
      </c>
      <c r="M88" s="285">
        <v>0.53400000000000003</v>
      </c>
      <c r="N88" s="286">
        <v>-1.0065900000000001</v>
      </c>
      <c r="O88" s="226">
        <v>3.3857191500000001E-2</v>
      </c>
      <c r="Q88" s="343">
        <v>4</v>
      </c>
      <c r="R88" s="286">
        <v>2.4730000000000003</v>
      </c>
      <c r="S88" s="286">
        <v>0.53400000000000003</v>
      </c>
      <c r="T88" s="286">
        <v>34.258143629726064</v>
      </c>
      <c r="U88" s="286">
        <v>4.5240687830830913E-2</v>
      </c>
      <c r="V88" s="226">
        <v>67.861031746246368</v>
      </c>
    </row>
    <row r="89" spans="1:22" x14ac:dyDescent="0.3">
      <c r="A89" s="343">
        <v>5</v>
      </c>
      <c r="B89" s="293" t="s">
        <v>49</v>
      </c>
      <c r="C89" s="286">
        <v>9.2729999999999997</v>
      </c>
      <c r="D89" s="286">
        <v>11928.706349999999</v>
      </c>
      <c r="E89" s="286">
        <v>4.1230000000000002</v>
      </c>
      <c r="F89" s="286">
        <v>0.40500000000000003</v>
      </c>
      <c r="G89" s="286">
        <v>1.6698150000000003</v>
      </c>
      <c r="H89" s="286">
        <v>0.53400000000000003</v>
      </c>
      <c r="I89" s="286">
        <v>73.329310475826489</v>
      </c>
      <c r="J89" s="286">
        <v>4.9796831984563125E-2</v>
      </c>
      <c r="K89" s="226">
        <v>200000000</v>
      </c>
      <c r="M89" s="285">
        <v>0.53400000000000003</v>
      </c>
      <c r="N89" s="286">
        <v>-0.44584060500000011</v>
      </c>
      <c r="O89" s="226">
        <v>2.9821765874999993E-2</v>
      </c>
      <c r="Q89" s="343">
        <v>5</v>
      </c>
      <c r="R89" s="286">
        <v>3.0909999999999993</v>
      </c>
      <c r="S89" s="286">
        <v>0.53400000000000003</v>
      </c>
      <c r="T89" s="286">
        <v>73.329310475826489</v>
      </c>
      <c r="U89" s="286">
        <v>0.12103691989553632</v>
      </c>
      <c r="V89" s="226">
        <v>181.55537984330448</v>
      </c>
    </row>
    <row r="90" spans="1:22" x14ac:dyDescent="0.3">
      <c r="A90" s="343">
        <v>6</v>
      </c>
      <c r="B90" s="293" t="s">
        <v>50</v>
      </c>
      <c r="C90" s="286">
        <v>12.983000000000001</v>
      </c>
      <c r="D90" s="286">
        <v>10143.7446</v>
      </c>
      <c r="E90" s="286">
        <v>4.2089999999999996</v>
      </c>
      <c r="F90" s="286">
        <v>0.35099999999999998</v>
      </c>
      <c r="G90" s="286">
        <v>1.4773589999999999</v>
      </c>
      <c r="H90" s="286">
        <v>0.53400000000000003</v>
      </c>
      <c r="I90" s="286">
        <v>71.141141822787816</v>
      </c>
      <c r="J90" s="286">
        <v>3.7464880946278492E-2</v>
      </c>
      <c r="K90" s="226">
        <v>200000000</v>
      </c>
      <c r="M90" s="285">
        <v>0.53400000000000003</v>
      </c>
      <c r="N90" s="286">
        <v>-0.39445485299999999</v>
      </c>
      <c r="O90" s="226">
        <v>2.53593615E-2</v>
      </c>
      <c r="Q90" s="343">
        <v>6</v>
      </c>
      <c r="R90" s="286">
        <v>3.7100000000000009</v>
      </c>
      <c r="S90" s="286">
        <v>0.53400000000000003</v>
      </c>
      <c r="T90" s="286">
        <v>71.141141822787816</v>
      </c>
      <c r="U90" s="286">
        <v>0.14094056171079788</v>
      </c>
      <c r="V90" s="226">
        <v>211.41084256619683</v>
      </c>
    </row>
    <row r="91" spans="1:22" x14ac:dyDescent="0.3">
      <c r="A91" s="343">
        <v>7</v>
      </c>
      <c r="B91" s="293" t="s">
        <v>50</v>
      </c>
      <c r="C91" s="286">
        <v>16.692</v>
      </c>
      <c r="D91" s="286">
        <v>8509.1011500000004</v>
      </c>
      <c r="E91" s="286">
        <v>4.0330000000000004</v>
      </c>
      <c r="F91" s="286">
        <v>0.35099999999999998</v>
      </c>
      <c r="G91" s="286">
        <v>1.415583</v>
      </c>
      <c r="H91" s="286">
        <v>0.53400000000000003</v>
      </c>
      <c r="I91" s="286">
        <v>61.653408787649376</v>
      </c>
      <c r="J91" s="286">
        <v>3.011334733305113E-2</v>
      </c>
      <c r="K91" s="226">
        <v>200000000</v>
      </c>
      <c r="M91" s="285">
        <v>0.53400000000000003</v>
      </c>
      <c r="N91" s="286">
        <v>-0.37796066100000003</v>
      </c>
      <c r="O91" s="226">
        <v>2.1272752875000002E-2</v>
      </c>
      <c r="Q91" s="343">
        <v>7</v>
      </c>
      <c r="R91" s="286">
        <v>3.7089999999999996</v>
      </c>
      <c r="S91" s="286">
        <v>0.53400000000000003</v>
      </c>
      <c r="T91" s="286">
        <v>61.653408787649376</v>
      </c>
      <c r="U91" s="286">
        <v>0.12211111136527107</v>
      </c>
      <c r="V91" s="226">
        <v>183.1666670479066</v>
      </c>
    </row>
    <row r="92" spans="1:22" x14ac:dyDescent="0.3">
      <c r="A92" s="343">
        <v>8</v>
      </c>
      <c r="B92" s="293" t="s">
        <v>51</v>
      </c>
      <c r="C92" s="286">
        <v>20.401</v>
      </c>
      <c r="D92" s="286">
        <v>6990.7991999999995</v>
      </c>
      <c r="E92" s="286">
        <v>3.8439999999999999</v>
      </c>
      <c r="F92" s="286">
        <v>0.3</v>
      </c>
      <c r="G92" s="286">
        <v>1.1532</v>
      </c>
      <c r="H92" s="286">
        <v>0.53400000000000003</v>
      </c>
      <c r="I92" s="286">
        <v>63.826328212320846</v>
      </c>
      <c r="J92" s="286">
        <v>2.0154474093599998E-2</v>
      </c>
      <c r="K92" s="226">
        <v>200000000</v>
      </c>
      <c r="M92" s="285">
        <v>0.53400000000000003</v>
      </c>
      <c r="N92" s="286">
        <v>-0.30790440000000002</v>
      </c>
      <c r="O92" s="226">
        <v>1.7476997999999997E-2</v>
      </c>
      <c r="Q92" s="343">
        <v>8</v>
      </c>
      <c r="R92" s="286">
        <v>3.7089999999999996</v>
      </c>
      <c r="S92" s="286">
        <v>0.53400000000000003</v>
      </c>
      <c r="T92" s="286">
        <v>63.826328212320846</v>
      </c>
      <c r="U92" s="286">
        <v>0.12641480861529192</v>
      </c>
      <c r="V92" s="226">
        <v>189.62221292293788</v>
      </c>
    </row>
    <row r="93" spans="1:22" x14ac:dyDescent="0.3">
      <c r="A93" s="343">
        <v>9</v>
      </c>
      <c r="B93" s="293" t="s">
        <v>52</v>
      </c>
      <c r="C93" s="286">
        <v>24.111000000000001</v>
      </c>
      <c r="D93" s="286">
        <v>5598.6215999999995</v>
      </c>
      <c r="E93" s="286">
        <v>3.625</v>
      </c>
      <c r="F93" s="286">
        <v>0.25</v>
      </c>
      <c r="G93" s="286">
        <v>0.90625</v>
      </c>
      <c r="H93" s="286">
        <v>0.53400000000000003</v>
      </c>
      <c r="I93" s="286">
        <v>68.07025689217113</v>
      </c>
      <c r="J93" s="286">
        <v>1.2684377062499998E-2</v>
      </c>
      <c r="K93" s="226">
        <v>200000000</v>
      </c>
      <c r="M93" s="285">
        <v>0.53400000000000003</v>
      </c>
      <c r="N93" s="286">
        <v>-0.24196875000000001</v>
      </c>
      <c r="O93" s="226">
        <v>1.3996554E-2</v>
      </c>
      <c r="Q93" s="343">
        <v>9</v>
      </c>
      <c r="R93" s="286">
        <v>3.7100000000000009</v>
      </c>
      <c r="S93" s="286">
        <v>0.53400000000000003</v>
      </c>
      <c r="T93" s="286">
        <v>68.07025689217113</v>
      </c>
      <c r="U93" s="286">
        <v>0.13485670873935596</v>
      </c>
      <c r="V93" s="226">
        <v>202.28506310903393</v>
      </c>
    </row>
    <row r="94" spans="1:22" x14ac:dyDescent="0.3">
      <c r="A94" s="343">
        <v>10</v>
      </c>
      <c r="B94" s="293" t="s">
        <v>52</v>
      </c>
      <c r="C94" s="286">
        <v>27.82</v>
      </c>
      <c r="D94" s="286">
        <v>4342.369349999999</v>
      </c>
      <c r="E94" s="286">
        <v>3.391</v>
      </c>
      <c r="F94" s="286">
        <v>0.25</v>
      </c>
      <c r="G94" s="286">
        <v>0.84775</v>
      </c>
      <c r="H94" s="286">
        <v>0.53400000000000003</v>
      </c>
      <c r="I94" s="286">
        <v>55.131698500890614</v>
      </c>
      <c r="J94" s="286">
        <v>9.2031090411562478E-3</v>
      </c>
      <c r="K94" s="226">
        <v>200000000</v>
      </c>
      <c r="M94" s="285">
        <v>0.53400000000000003</v>
      </c>
      <c r="N94" s="286">
        <v>-0.22634925</v>
      </c>
      <c r="O94" s="226">
        <v>1.0855923374999996E-2</v>
      </c>
      <c r="Q94" s="343">
        <v>10</v>
      </c>
      <c r="R94" s="286">
        <v>3.7089999999999996</v>
      </c>
      <c r="S94" s="286">
        <v>0.53400000000000003</v>
      </c>
      <c r="T94" s="286">
        <v>55.131698500890614</v>
      </c>
      <c r="U94" s="286">
        <v>0.10919417284105495</v>
      </c>
      <c r="V94" s="226">
        <v>163.79125926158244</v>
      </c>
    </row>
    <row r="95" spans="1:22" x14ac:dyDescent="0.3">
      <c r="A95" s="343">
        <v>11</v>
      </c>
      <c r="B95" s="293" t="s">
        <v>53</v>
      </c>
      <c r="C95" s="286">
        <v>31.529</v>
      </c>
      <c r="D95" s="286">
        <v>3231.2808</v>
      </c>
      <c r="E95" s="286">
        <v>3.1680000000000001</v>
      </c>
      <c r="F95" s="286">
        <v>0.21</v>
      </c>
      <c r="G95" s="286">
        <v>0.66527999999999998</v>
      </c>
      <c r="H95" s="286">
        <v>0.53400000000000003</v>
      </c>
      <c r="I95" s="286">
        <v>54.361868098487811</v>
      </c>
      <c r="J95" s="286">
        <v>5.3742662265599999E-3</v>
      </c>
      <c r="K95" s="226">
        <v>200000000</v>
      </c>
      <c r="M95" s="285">
        <v>0.53400000000000003</v>
      </c>
      <c r="N95" s="286">
        <v>-0.17762976</v>
      </c>
      <c r="O95" s="226">
        <v>8.0782019999999996E-3</v>
      </c>
      <c r="Q95" s="343">
        <v>11</v>
      </c>
      <c r="R95" s="286">
        <v>3.7089999999999996</v>
      </c>
      <c r="S95" s="286">
        <v>0.53400000000000003</v>
      </c>
      <c r="T95" s="286">
        <v>54.361868098487811</v>
      </c>
      <c r="U95" s="286">
        <v>0.10766944212707354</v>
      </c>
      <c r="V95" s="226">
        <v>161.50416319061031</v>
      </c>
    </row>
    <row r="96" spans="1:22" x14ac:dyDescent="0.3">
      <c r="A96" s="343">
        <v>12</v>
      </c>
      <c r="B96" s="293" t="s">
        <v>53</v>
      </c>
      <c r="C96" s="286">
        <v>35.238999999999997</v>
      </c>
      <c r="D96" s="286">
        <v>2277.7523999999999</v>
      </c>
      <c r="E96" s="286">
        <v>2.9460000000000002</v>
      </c>
      <c r="F96" s="286">
        <v>0.21</v>
      </c>
      <c r="G96" s="286">
        <v>0.61865999999999999</v>
      </c>
      <c r="H96" s="286">
        <v>0.53400000000000003</v>
      </c>
      <c r="I96" s="286">
        <v>39.523229154058406</v>
      </c>
      <c r="J96" s="286">
        <v>3.5228857494599996E-3</v>
      </c>
      <c r="K96" s="226">
        <v>200000000</v>
      </c>
      <c r="M96" s="285">
        <v>0.53400000000000003</v>
      </c>
      <c r="N96" s="286">
        <v>-0.16518222000000002</v>
      </c>
      <c r="O96" s="226">
        <v>5.6943810000000001E-3</v>
      </c>
      <c r="Q96" s="343">
        <v>12</v>
      </c>
      <c r="R96" s="286">
        <v>3.7099999999999973</v>
      </c>
      <c r="S96" s="286">
        <v>0.53400000000000003</v>
      </c>
      <c r="T96" s="286">
        <v>39.523229154058406</v>
      </c>
      <c r="U96" s="286">
        <v>7.8301050206271205E-2</v>
      </c>
      <c r="V96" s="226">
        <v>117.45157530940681</v>
      </c>
    </row>
    <row r="97" spans="1:26" x14ac:dyDescent="0.3">
      <c r="A97" s="343">
        <v>13</v>
      </c>
      <c r="B97" s="293" t="s">
        <v>54</v>
      </c>
      <c r="C97" s="286">
        <v>38.948</v>
      </c>
      <c r="D97" s="286">
        <v>1490.2111950000001</v>
      </c>
      <c r="E97" s="286">
        <v>2.7229999999999999</v>
      </c>
      <c r="F97" s="286">
        <v>0.18</v>
      </c>
      <c r="G97" s="286">
        <v>0.49013999999999996</v>
      </c>
      <c r="H97" s="286">
        <v>0.53400000000000003</v>
      </c>
      <c r="I97" s="286">
        <v>32.879090804611842</v>
      </c>
      <c r="J97" s="286">
        <v>1.8260302877932499E-3</v>
      </c>
      <c r="K97" s="226">
        <v>200000000</v>
      </c>
      <c r="M97" s="285">
        <v>0.53400000000000003</v>
      </c>
      <c r="N97" s="286">
        <v>-0.13086738000000001</v>
      </c>
      <c r="O97" s="226">
        <v>3.7255279875000004E-3</v>
      </c>
      <c r="Q97" s="343">
        <v>13</v>
      </c>
      <c r="R97" s="286">
        <v>3.7090000000000032</v>
      </c>
      <c r="S97" s="286">
        <v>0.53400000000000003</v>
      </c>
      <c r="T97" s="286">
        <v>32.879090804611842</v>
      </c>
      <c r="U97" s="286">
        <v>6.5120524522159107E-2</v>
      </c>
      <c r="V97" s="226">
        <v>97.680786783238659</v>
      </c>
    </row>
    <row r="98" spans="1:26" x14ac:dyDescent="0.3">
      <c r="A98" s="343">
        <v>14</v>
      </c>
      <c r="B98" s="293" t="s">
        <v>54</v>
      </c>
      <c r="C98" s="286">
        <v>42.656999999999996</v>
      </c>
      <c r="D98" s="286">
        <v>869.48119500000007</v>
      </c>
      <c r="E98" s="286">
        <v>2.5009999999999999</v>
      </c>
      <c r="F98" s="286">
        <v>0.18</v>
      </c>
      <c r="G98" s="286">
        <v>0.45017999999999997</v>
      </c>
      <c r="H98" s="286">
        <v>0.53400000000000003</v>
      </c>
      <c r="I98" s="286">
        <v>19.831612727749064</v>
      </c>
      <c r="J98" s="286">
        <v>9.7855761091274998E-4</v>
      </c>
      <c r="K98" s="226">
        <v>200000000</v>
      </c>
      <c r="M98" s="285">
        <v>0.53400000000000003</v>
      </c>
      <c r="N98" s="286">
        <v>-0.12019806</v>
      </c>
      <c r="O98" s="226">
        <v>2.1737029875000002E-3</v>
      </c>
      <c r="Q98" s="343">
        <v>14</v>
      </c>
      <c r="R98" s="286">
        <v>3.7089999999999961</v>
      </c>
      <c r="S98" s="286">
        <v>0.53400000000000003</v>
      </c>
      <c r="T98" s="286">
        <v>19.831612727749064</v>
      </c>
      <c r="U98" s="286">
        <v>3.9278611158256128E-2</v>
      </c>
      <c r="V98" s="226">
        <v>58.917916737384189</v>
      </c>
    </row>
    <row r="99" spans="1:26" x14ac:dyDescent="0.3">
      <c r="A99" s="343">
        <v>15</v>
      </c>
      <c r="B99" s="293" t="s">
        <v>54</v>
      </c>
      <c r="C99" s="286">
        <v>46.366999999999997</v>
      </c>
      <c r="D99" s="286">
        <v>414.90718500000003</v>
      </c>
      <c r="E99" s="286">
        <v>2.278</v>
      </c>
      <c r="F99" s="286">
        <v>0.18</v>
      </c>
      <c r="G99" s="286">
        <v>0.41004000000000002</v>
      </c>
      <c r="H99" s="286">
        <v>0.53400000000000003</v>
      </c>
      <c r="I99" s="286">
        <v>9.9581187007931593</v>
      </c>
      <c r="J99" s="286">
        <v>4.2532135534350011E-4</v>
      </c>
      <c r="K99" s="226">
        <v>200000000</v>
      </c>
      <c r="M99" s="285">
        <v>0.53400000000000003</v>
      </c>
      <c r="N99" s="286">
        <v>-0.10948068000000001</v>
      </c>
      <c r="O99" s="226">
        <v>1.0372679625000002E-3</v>
      </c>
      <c r="Q99" s="343">
        <v>15</v>
      </c>
      <c r="R99" s="286">
        <v>3.7100000000000009</v>
      </c>
      <c r="S99" s="286">
        <v>0.53400000000000003</v>
      </c>
      <c r="T99" s="286">
        <v>9.9581187007931593</v>
      </c>
      <c r="U99" s="286">
        <v>1.9728427282889368E-2</v>
      </c>
      <c r="V99" s="226">
        <v>29.592640924334052</v>
      </c>
    </row>
    <row r="100" spans="1:26" x14ac:dyDescent="0.3">
      <c r="A100" s="343">
        <v>16</v>
      </c>
      <c r="B100" s="293" t="s">
        <v>54</v>
      </c>
      <c r="C100" s="286">
        <v>49.457999999999998</v>
      </c>
      <c r="D100" s="286">
        <v>160.8164415</v>
      </c>
      <c r="E100" s="286">
        <v>2.0960000000000001</v>
      </c>
      <c r="F100" s="286">
        <v>0.18</v>
      </c>
      <c r="G100" s="286">
        <v>0.37728</v>
      </c>
      <c r="H100" s="286">
        <v>0.53400000000000003</v>
      </c>
      <c r="I100" s="286">
        <v>4.0793415476075578</v>
      </c>
      <c r="J100" s="286">
        <v>1.5168206762279998E-4</v>
      </c>
      <c r="K100" s="226">
        <v>200000000</v>
      </c>
      <c r="M100" s="285">
        <v>0.53400000000000003</v>
      </c>
      <c r="N100" s="286">
        <v>-0.10073376000000001</v>
      </c>
      <c r="O100" s="226">
        <v>4.0204110374999997E-4</v>
      </c>
      <c r="Q100" s="343">
        <v>16</v>
      </c>
      <c r="R100" s="286">
        <v>3.0910000000000011</v>
      </c>
      <c r="S100" s="286">
        <v>0.53400000000000003</v>
      </c>
      <c r="T100" s="286">
        <v>4.0793415476075578</v>
      </c>
      <c r="U100" s="286">
        <v>6.7333366824317512E-3</v>
      </c>
      <c r="V100" s="226">
        <v>10.100005023647627</v>
      </c>
    </row>
    <row r="101" spans="1:26" x14ac:dyDescent="0.3">
      <c r="A101" s="343">
        <v>17</v>
      </c>
      <c r="B101" s="293" t="s">
        <v>54</v>
      </c>
      <c r="C101" s="286">
        <v>51.930999999999997</v>
      </c>
      <c r="D101" s="286">
        <v>44.687659500000002</v>
      </c>
      <c r="E101" s="286">
        <v>1.887</v>
      </c>
      <c r="F101" s="286">
        <v>0.18</v>
      </c>
      <c r="G101" s="286">
        <v>0.33965999999999996</v>
      </c>
      <c r="H101" s="286">
        <v>0.53400000000000003</v>
      </c>
      <c r="I101" s="286">
        <v>1.2409578127418495</v>
      </c>
      <c r="J101" s="286">
        <v>3.7946526064424998E-5</v>
      </c>
      <c r="K101" s="226">
        <v>200000000</v>
      </c>
      <c r="M101" s="285">
        <v>0.53400000000000003</v>
      </c>
      <c r="N101" s="286">
        <v>-9.0689220000000001E-2</v>
      </c>
      <c r="O101" s="226">
        <v>1.1171914875000001E-4</v>
      </c>
      <c r="Q101" s="343">
        <v>17</v>
      </c>
      <c r="R101" s="286">
        <v>2.472999999999999</v>
      </c>
      <c r="S101" s="286">
        <v>0.53400000000000003</v>
      </c>
      <c r="T101" s="286">
        <v>1.2409578127418495</v>
      </c>
      <c r="U101" s="286">
        <v>1.6387865502662565E-3</v>
      </c>
      <c r="V101" s="226">
        <v>2.4581798253993847</v>
      </c>
    </row>
    <row r="102" spans="1:26" x14ac:dyDescent="0.3">
      <c r="A102" s="343">
        <v>18</v>
      </c>
      <c r="B102" s="293" t="s">
        <v>54</v>
      </c>
      <c r="C102" s="286">
        <v>54.404000000000003</v>
      </c>
      <c r="D102" s="286">
        <v>2.2130113499999999</v>
      </c>
      <c r="E102" s="286">
        <v>1.284</v>
      </c>
      <c r="F102" s="286">
        <v>0.18</v>
      </c>
      <c r="G102" s="286">
        <v>0.23111999999999999</v>
      </c>
      <c r="H102" s="286">
        <v>0.53400000000000003</v>
      </c>
      <c r="I102" s="286">
        <v>8.9724736556249282E-2</v>
      </c>
      <c r="J102" s="286">
        <v>1.2786779580299998E-6</v>
      </c>
      <c r="K102" s="226">
        <v>200000000</v>
      </c>
      <c r="M102" s="285">
        <v>0.53400000000000003</v>
      </c>
      <c r="N102" s="286">
        <v>-6.170904E-2</v>
      </c>
      <c r="O102" s="226">
        <v>5.5325283749999992E-6</v>
      </c>
      <c r="Q102" s="343">
        <v>18</v>
      </c>
      <c r="R102" s="286">
        <v>2.4730000000000061</v>
      </c>
      <c r="S102" s="286">
        <v>0.53400000000000003</v>
      </c>
      <c r="T102" s="286">
        <v>8.9724736556249282E-2</v>
      </c>
      <c r="U102" s="286">
        <v>1.1848887205092509E-4</v>
      </c>
      <c r="V102" s="226">
        <v>0.17773330807638762</v>
      </c>
    </row>
    <row r="103" spans="1:26" ht="14.5" thickBot="1" x14ac:dyDescent="0.35">
      <c r="A103" s="344">
        <v>19</v>
      </c>
      <c r="B103" s="312" t="s">
        <v>54</v>
      </c>
      <c r="C103" s="227">
        <v>55.64</v>
      </c>
      <c r="D103" s="227">
        <v>1.289101935E-5</v>
      </c>
      <c r="E103" s="227">
        <v>1.284</v>
      </c>
      <c r="F103" s="227">
        <v>0.18</v>
      </c>
      <c r="G103" s="227">
        <v>0.23111999999999999</v>
      </c>
      <c r="H103" s="227">
        <v>0.53400000000000003</v>
      </c>
      <c r="I103" s="227">
        <v>5.2225003478053257E-7</v>
      </c>
      <c r="J103" s="227">
        <v>7.4484309804300002E-12</v>
      </c>
      <c r="K103" s="228">
        <v>200000000</v>
      </c>
      <c r="M103" s="287">
        <v>0.53400000000000003</v>
      </c>
      <c r="N103" s="227">
        <v>-6.170904E-2</v>
      </c>
      <c r="O103" s="228">
        <v>3.2227548374999999E-11</v>
      </c>
      <c r="Q103" s="344">
        <v>19</v>
      </c>
      <c r="R103" s="227">
        <v>1.2359999999999971</v>
      </c>
      <c r="S103" s="227">
        <v>0.53400000000000003</v>
      </c>
      <c r="T103" s="227">
        <v>5.2225003478053257E-7</v>
      </c>
      <c r="U103" s="227">
        <v>3.4469755695598548E-10</v>
      </c>
      <c r="V103" s="228">
        <v>5.1704633543397821E-7</v>
      </c>
    </row>
    <row r="104" spans="1:26" x14ac:dyDescent="0.3">
      <c r="U104" t="s">
        <v>499</v>
      </c>
      <c r="V104">
        <v>3613.7414985685805</v>
      </c>
      <c r="W104" t="s">
        <v>500</v>
      </c>
    </row>
    <row r="105" spans="1:26" x14ac:dyDescent="0.3">
      <c r="U105" t="s">
        <v>501</v>
      </c>
      <c r="V105">
        <v>30</v>
      </c>
      <c r="W105" t="s">
        <v>502</v>
      </c>
    </row>
    <row r="106" spans="1:26" x14ac:dyDescent="0.3">
      <c r="U106" t="s">
        <v>503</v>
      </c>
      <c r="V106">
        <v>108412.24495705741</v>
      </c>
      <c r="W106" t="s">
        <v>504</v>
      </c>
    </row>
    <row r="107" spans="1:26" x14ac:dyDescent="0.3">
      <c r="V107">
        <v>86729.795965645928</v>
      </c>
      <c r="W107" t="s">
        <v>386</v>
      </c>
      <c r="X107" s="256" t="s">
        <v>193</v>
      </c>
      <c r="Y107" s="256"/>
      <c r="Z107" s="256"/>
    </row>
    <row r="109" spans="1:26" ht="16" thickBot="1" x14ac:dyDescent="0.4">
      <c r="A109" s="299" t="s">
        <v>506</v>
      </c>
    </row>
    <row r="110" spans="1:26" ht="56" x14ac:dyDescent="0.3">
      <c r="A110" s="289" t="s">
        <v>486</v>
      </c>
      <c r="B110" s="290" t="s">
        <v>487</v>
      </c>
      <c r="C110" s="290" t="s">
        <v>45</v>
      </c>
      <c r="D110" s="290" t="s">
        <v>484</v>
      </c>
      <c r="E110" s="290" t="s">
        <v>488</v>
      </c>
      <c r="F110" s="290" t="s">
        <v>489</v>
      </c>
      <c r="G110" s="290" t="s">
        <v>43</v>
      </c>
      <c r="H110" s="290" t="s">
        <v>42</v>
      </c>
      <c r="I110" s="290" t="s">
        <v>41</v>
      </c>
      <c r="J110" s="290" t="s">
        <v>40</v>
      </c>
      <c r="K110" s="291" t="s">
        <v>381</v>
      </c>
      <c r="L110" s="288" t="s">
        <v>505</v>
      </c>
      <c r="M110" s="289" t="s">
        <v>300</v>
      </c>
      <c r="N110" s="290" t="s">
        <v>491</v>
      </c>
      <c r="O110" s="291" t="s">
        <v>298</v>
      </c>
      <c r="Q110" s="289" t="s">
        <v>486</v>
      </c>
      <c r="R110" s="290" t="s">
        <v>494</v>
      </c>
      <c r="S110" s="290" t="s">
        <v>42</v>
      </c>
      <c r="T110" s="290" t="s">
        <v>41</v>
      </c>
      <c r="U110" s="290" t="s">
        <v>495</v>
      </c>
      <c r="V110" s="291" t="s">
        <v>496</v>
      </c>
    </row>
    <row r="111" spans="1:26" ht="14.5" thickBot="1" x14ac:dyDescent="0.35">
      <c r="A111" s="301"/>
      <c r="B111" s="302"/>
      <c r="C111" s="302" t="s">
        <v>38</v>
      </c>
      <c r="D111" s="302" t="s">
        <v>39</v>
      </c>
      <c r="E111" s="302" t="s">
        <v>38</v>
      </c>
      <c r="F111" s="302" t="s">
        <v>319</v>
      </c>
      <c r="G111" s="302" t="s">
        <v>38</v>
      </c>
      <c r="H111" s="302" t="s">
        <v>38</v>
      </c>
      <c r="I111" s="302" t="s">
        <v>37</v>
      </c>
      <c r="J111" s="302" t="s">
        <v>36</v>
      </c>
      <c r="K111" s="303" t="s">
        <v>492</v>
      </c>
      <c r="L111" s="288">
        <v>119.99999999999999</v>
      </c>
      <c r="M111" s="301" t="s">
        <v>38</v>
      </c>
      <c r="N111" s="302" t="s">
        <v>38</v>
      </c>
      <c r="O111" s="303" t="s">
        <v>38</v>
      </c>
      <c r="Q111" s="301"/>
      <c r="R111" s="302" t="s">
        <v>38</v>
      </c>
      <c r="S111" s="302" t="s">
        <v>38</v>
      </c>
      <c r="T111" s="302" t="s">
        <v>37</v>
      </c>
      <c r="U111" s="302" t="s">
        <v>497</v>
      </c>
      <c r="V111" s="303" t="s">
        <v>498</v>
      </c>
    </row>
    <row r="112" spans="1:26" x14ac:dyDescent="0.3">
      <c r="A112" s="343">
        <v>2</v>
      </c>
      <c r="B112" s="286" t="s">
        <v>47</v>
      </c>
      <c r="C112" s="286">
        <v>1.236</v>
      </c>
      <c r="D112" s="286">
        <v>16203.321750000001</v>
      </c>
      <c r="E112" s="286">
        <v>3.2050000000000001</v>
      </c>
      <c r="F112" s="286">
        <v>1</v>
      </c>
      <c r="G112" s="286">
        <v>3.2050000000000001</v>
      </c>
      <c r="H112" s="286">
        <v>0.53400000000000003</v>
      </c>
      <c r="I112" s="286">
        <v>83.217166945292561</v>
      </c>
      <c r="J112" s="286">
        <v>0.21638185920312505</v>
      </c>
      <c r="K112" s="226">
        <v>119999999.99999999</v>
      </c>
      <c r="M112" s="285">
        <v>0.53400000000000003</v>
      </c>
      <c r="N112" s="286">
        <v>-0.85573500000000002</v>
      </c>
      <c r="O112" s="226">
        <v>6.7513840625000016E-2</v>
      </c>
      <c r="Q112" s="343">
        <v>2</v>
      </c>
      <c r="R112" s="286">
        <v>1.236</v>
      </c>
      <c r="S112" s="286">
        <v>0.53400000000000003</v>
      </c>
      <c r="T112" s="286">
        <v>83.217166945292561</v>
      </c>
      <c r="U112" s="286">
        <v>5.4925327395899781E-2</v>
      </c>
      <c r="V112" s="226">
        <v>94.837731970253614</v>
      </c>
    </row>
    <row r="113" spans="1:22" x14ac:dyDescent="0.3">
      <c r="A113" s="343">
        <v>3</v>
      </c>
      <c r="B113" s="286" t="s">
        <v>47</v>
      </c>
      <c r="C113" s="286">
        <v>3.7090000000000001</v>
      </c>
      <c r="D113" s="286">
        <v>14863.397999999999</v>
      </c>
      <c r="E113" s="286">
        <v>3.4870000000000001</v>
      </c>
      <c r="F113" s="286">
        <v>1</v>
      </c>
      <c r="G113" s="286">
        <v>3.4870000000000001</v>
      </c>
      <c r="H113" s="286">
        <v>0.53400000000000003</v>
      </c>
      <c r="I113" s="286">
        <v>69.270882025803587</v>
      </c>
      <c r="J113" s="286">
        <v>0.21595278677500004</v>
      </c>
      <c r="K113" s="226">
        <v>119999999.99999999</v>
      </c>
      <c r="M113" s="285">
        <v>0.53400000000000003</v>
      </c>
      <c r="N113" s="286">
        <v>-0.93102900000000011</v>
      </c>
      <c r="O113" s="226">
        <v>6.1930825000000009E-2</v>
      </c>
      <c r="Q113" s="343">
        <v>3</v>
      </c>
      <c r="R113" s="286">
        <v>2.4729999999999999</v>
      </c>
      <c r="S113" s="286">
        <v>0.53400000000000003</v>
      </c>
      <c r="T113" s="286">
        <v>69.270882025803587</v>
      </c>
      <c r="U113" s="286">
        <v>9.1477879927399752E-2</v>
      </c>
      <c r="V113" s="226">
        <v>157.9518060079769</v>
      </c>
    </row>
    <row r="114" spans="1:22" x14ac:dyDescent="0.3">
      <c r="A114" s="343">
        <v>4</v>
      </c>
      <c r="B114" s="286" t="s">
        <v>48</v>
      </c>
      <c r="C114" s="286">
        <v>6.1820000000000004</v>
      </c>
      <c r="D114" s="286">
        <v>13542.876600000001</v>
      </c>
      <c r="E114" s="286">
        <v>3.77</v>
      </c>
      <c r="F114" s="286">
        <v>1</v>
      </c>
      <c r="G114" s="286">
        <v>3.77</v>
      </c>
      <c r="H114" s="286">
        <v>0.53400000000000003</v>
      </c>
      <c r="I114" s="286">
        <v>57.833613103295924</v>
      </c>
      <c r="J114" s="286">
        <v>0.21273601992500005</v>
      </c>
      <c r="K114" s="226">
        <v>119999999.99999999</v>
      </c>
      <c r="M114" s="285">
        <v>0.53400000000000003</v>
      </c>
      <c r="N114" s="286">
        <v>-1.0065900000000001</v>
      </c>
      <c r="O114" s="226">
        <v>5.6428652500000016E-2</v>
      </c>
      <c r="Q114" s="343">
        <v>4</v>
      </c>
      <c r="R114" s="286">
        <v>2.4730000000000003</v>
      </c>
      <c r="S114" s="286">
        <v>0.53400000000000003</v>
      </c>
      <c r="T114" s="286">
        <v>57.833613103295924</v>
      </c>
      <c r="U114" s="286">
        <v>7.6374028459176749E-2</v>
      </c>
      <c r="V114" s="226">
        <v>131.87248913951183</v>
      </c>
    </row>
    <row r="115" spans="1:22" x14ac:dyDescent="0.3">
      <c r="A115" s="343">
        <v>5</v>
      </c>
      <c r="B115" s="286" t="s">
        <v>49</v>
      </c>
      <c r="C115" s="286">
        <v>9.2729999999999997</v>
      </c>
      <c r="D115" s="286">
        <v>11928.706349999999</v>
      </c>
      <c r="E115" s="286">
        <v>4.1230000000000002</v>
      </c>
      <c r="F115" s="286">
        <v>0.40500000000000003</v>
      </c>
      <c r="G115" s="286">
        <v>1.6698150000000003</v>
      </c>
      <c r="H115" s="286">
        <v>0.53400000000000003</v>
      </c>
      <c r="I115" s="286">
        <v>132.5134740291644</v>
      </c>
      <c r="J115" s="286">
        <v>8.299471997427188E-2</v>
      </c>
      <c r="K115" s="226">
        <v>119999999.99999999</v>
      </c>
      <c r="M115" s="285">
        <v>0.53400000000000003</v>
      </c>
      <c r="N115" s="286">
        <v>-0.44584060500000011</v>
      </c>
      <c r="O115" s="226">
        <v>4.9702943124999996E-2</v>
      </c>
      <c r="Q115" s="343">
        <v>5</v>
      </c>
      <c r="R115" s="286">
        <v>3.0909999999999993</v>
      </c>
      <c r="S115" s="286">
        <v>0.53400000000000003</v>
      </c>
      <c r="T115" s="286">
        <v>132.5134740291644</v>
      </c>
      <c r="U115" s="286">
        <v>0.21872594515169455</v>
      </c>
      <c r="V115" s="226">
        <v>377.66679862859257</v>
      </c>
    </row>
    <row r="116" spans="1:22" x14ac:dyDescent="0.3">
      <c r="A116" s="343">
        <v>6</v>
      </c>
      <c r="B116" s="286" t="s">
        <v>50</v>
      </c>
      <c r="C116" s="286">
        <v>12.983000000000001</v>
      </c>
      <c r="D116" s="286">
        <v>10143.7446</v>
      </c>
      <c r="E116" s="286">
        <v>4.2089999999999996</v>
      </c>
      <c r="F116" s="286">
        <v>0.35099999999999998</v>
      </c>
      <c r="G116" s="286">
        <v>1.4773589999999999</v>
      </c>
      <c r="H116" s="286">
        <v>0.53400000000000003</v>
      </c>
      <c r="I116" s="286">
        <v>130.04331756106336</v>
      </c>
      <c r="J116" s="286">
        <v>6.2441468243797496E-2</v>
      </c>
      <c r="K116" s="226">
        <v>119999999.99999999</v>
      </c>
      <c r="M116" s="285">
        <v>0.53400000000000003</v>
      </c>
      <c r="N116" s="286">
        <v>-0.39445485299999999</v>
      </c>
      <c r="O116" s="226">
        <v>4.2265602500000006E-2</v>
      </c>
      <c r="Q116" s="343">
        <v>6</v>
      </c>
      <c r="R116" s="286">
        <v>3.7100000000000009</v>
      </c>
      <c r="S116" s="286">
        <v>0.53400000000000003</v>
      </c>
      <c r="T116" s="286">
        <v>130.04331756106336</v>
      </c>
      <c r="U116" s="286">
        <v>0.25763401815292514</v>
      </c>
      <c r="V116" s="226">
        <v>444.84807134405071</v>
      </c>
    </row>
    <row r="117" spans="1:22" x14ac:dyDescent="0.3">
      <c r="A117" s="343">
        <v>7</v>
      </c>
      <c r="B117" s="286" t="s">
        <v>50</v>
      </c>
      <c r="C117" s="286">
        <v>16.692</v>
      </c>
      <c r="D117" s="286">
        <v>8509.1011500000004</v>
      </c>
      <c r="E117" s="286">
        <v>4.0330000000000004</v>
      </c>
      <c r="F117" s="286">
        <v>0.35099999999999998</v>
      </c>
      <c r="G117" s="286">
        <v>1.415583</v>
      </c>
      <c r="H117" s="286">
        <v>0.53400000000000003</v>
      </c>
      <c r="I117" s="286">
        <v>111.31000828499667</v>
      </c>
      <c r="J117" s="286">
        <v>5.018891222175189E-2</v>
      </c>
      <c r="K117" s="226">
        <v>119999999.99999999</v>
      </c>
      <c r="M117" s="285">
        <v>0.53400000000000003</v>
      </c>
      <c r="N117" s="286">
        <v>-0.37796066100000003</v>
      </c>
      <c r="O117" s="226">
        <v>3.5454588125000006E-2</v>
      </c>
      <c r="Q117" s="343">
        <v>7</v>
      </c>
      <c r="R117" s="286">
        <v>3.7089999999999996</v>
      </c>
      <c r="S117" s="286">
        <v>0.53400000000000003</v>
      </c>
      <c r="T117" s="286">
        <v>111.31000828499667</v>
      </c>
      <c r="U117" s="286">
        <v>0.22046127026931409</v>
      </c>
      <c r="V117" s="226">
        <v>380.66312666501562</v>
      </c>
    </row>
    <row r="118" spans="1:22" x14ac:dyDescent="0.3">
      <c r="A118" s="343">
        <v>8</v>
      </c>
      <c r="B118" s="286" t="s">
        <v>51</v>
      </c>
      <c r="C118" s="286">
        <v>20.401</v>
      </c>
      <c r="D118" s="286">
        <v>6990.7991999999995</v>
      </c>
      <c r="E118" s="286">
        <v>3.8439999999999999</v>
      </c>
      <c r="F118" s="286">
        <v>0.3</v>
      </c>
      <c r="G118" s="286">
        <v>1.1532</v>
      </c>
      <c r="H118" s="286">
        <v>0.53400000000000003</v>
      </c>
      <c r="I118" s="286">
        <v>119.27498545164636</v>
      </c>
      <c r="J118" s="286">
        <v>3.3590790156E-2</v>
      </c>
      <c r="K118" s="226">
        <v>119999999.99999999</v>
      </c>
      <c r="M118" s="285">
        <v>0.53400000000000003</v>
      </c>
      <c r="N118" s="286">
        <v>-0.30790440000000002</v>
      </c>
      <c r="O118" s="226">
        <v>2.9128330000000001E-2</v>
      </c>
      <c r="Q118" s="343">
        <v>8</v>
      </c>
      <c r="R118" s="286">
        <v>3.7089999999999996</v>
      </c>
      <c r="S118" s="286">
        <v>0.53400000000000003</v>
      </c>
      <c r="T118" s="286">
        <v>119.27498545164636</v>
      </c>
      <c r="U118" s="286">
        <v>0.23623675183544346</v>
      </c>
      <c r="V118" s="226">
        <v>407.90212483586566</v>
      </c>
    </row>
    <row r="119" spans="1:22" x14ac:dyDescent="0.3">
      <c r="A119" s="343">
        <v>9</v>
      </c>
      <c r="B119" s="286" t="s">
        <v>52</v>
      </c>
      <c r="C119" s="286">
        <v>24.111000000000001</v>
      </c>
      <c r="D119" s="286">
        <v>5598.6215999999995</v>
      </c>
      <c r="E119" s="286">
        <v>3.625</v>
      </c>
      <c r="F119" s="286">
        <v>0.25</v>
      </c>
      <c r="G119" s="286">
        <v>0.90625</v>
      </c>
      <c r="H119" s="286">
        <v>0.53400000000000003</v>
      </c>
      <c r="I119" s="286">
        <v>139.12142876865468</v>
      </c>
      <c r="J119" s="286">
        <v>2.11406284375E-2</v>
      </c>
      <c r="K119" s="226">
        <v>119999999.99999999</v>
      </c>
      <c r="M119" s="285">
        <v>0.53400000000000003</v>
      </c>
      <c r="N119" s="286">
        <v>-0.24196875000000001</v>
      </c>
      <c r="O119" s="226">
        <v>2.3327590000000002E-2</v>
      </c>
      <c r="Q119" s="343">
        <v>9</v>
      </c>
      <c r="R119" s="286">
        <v>3.7100000000000009</v>
      </c>
      <c r="S119" s="286">
        <v>0.53400000000000003</v>
      </c>
      <c r="T119" s="286">
        <v>139.12142876865468</v>
      </c>
      <c r="U119" s="286">
        <v>0.27561902739073263</v>
      </c>
      <c r="V119" s="226">
        <v>475.90218729466494</v>
      </c>
    </row>
    <row r="120" spans="1:22" x14ac:dyDescent="0.3">
      <c r="A120" s="343">
        <v>10</v>
      </c>
      <c r="B120" s="286" t="s">
        <v>52</v>
      </c>
      <c r="C120" s="286">
        <v>27.82</v>
      </c>
      <c r="D120" s="286">
        <v>4342.369349999999</v>
      </c>
      <c r="E120" s="286">
        <v>3.391</v>
      </c>
      <c r="F120" s="286">
        <v>0.25</v>
      </c>
      <c r="G120" s="286">
        <v>0.84775</v>
      </c>
      <c r="H120" s="286">
        <v>0.53400000000000003</v>
      </c>
      <c r="I120" s="286">
        <v>106.88943305540161</v>
      </c>
      <c r="J120" s="286">
        <v>1.5338515068593747E-2</v>
      </c>
      <c r="K120" s="226">
        <v>119999999.99999999</v>
      </c>
      <c r="M120" s="285">
        <v>0.53400000000000003</v>
      </c>
      <c r="N120" s="286">
        <v>-0.22634925</v>
      </c>
      <c r="O120" s="226">
        <v>1.8093205624999997E-2</v>
      </c>
      <c r="Q120" s="343">
        <v>10</v>
      </c>
      <c r="R120" s="286">
        <v>3.7089999999999996</v>
      </c>
      <c r="S120" s="286">
        <v>0.53400000000000003</v>
      </c>
      <c r="T120" s="286">
        <v>106.88943305540161</v>
      </c>
      <c r="U120" s="286">
        <v>0.21170585244612677</v>
      </c>
      <c r="V120" s="226">
        <v>365.54543855697887</v>
      </c>
    </row>
    <row r="121" spans="1:22" x14ac:dyDescent="0.3">
      <c r="A121" s="343">
        <v>11</v>
      </c>
      <c r="B121" s="286" t="s">
        <v>53</v>
      </c>
      <c r="C121" s="286">
        <v>31.529</v>
      </c>
      <c r="D121" s="286">
        <v>3231.2808</v>
      </c>
      <c r="E121" s="286">
        <v>3.1680000000000001</v>
      </c>
      <c r="F121" s="286">
        <v>0.21</v>
      </c>
      <c r="G121" s="286">
        <v>0.66527999999999998</v>
      </c>
      <c r="H121" s="286">
        <v>0.53400000000000003</v>
      </c>
      <c r="I121" s="286">
        <v>116.82780635836932</v>
      </c>
      <c r="J121" s="286">
        <v>8.9571103776000006E-3</v>
      </c>
      <c r="K121" s="226">
        <v>119999999.99999999</v>
      </c>
      <c r="M121" s="285">
        <v>0.53400000000000003</v>
      </c>
      <c r="N121" s="286">
        <v>-0.17762976</v>
      </c>
      <c r="O121" s="226">
        <v>1.346367E-2</v>
      </c>
      <c r="Q121" s="343">
        <v>11</v>
      </c>
      <c r="R121" s="286">
        <v>3.7089999999999996</v>
      </c>
      <c r="S121" s="286">
        <v>0.53400000000000003</v>
      </c>
      <c r="T121" s="286">
        <v>116.82780635836932</v>
      </c>
      <c r="U121" s="286">
        <v>0.2313898542402244</v>
      </c>
      <c r="V121" s="226">
        <v>399.53314832145412</v>
      </c>
    </row>
    <row r="122" spans="1:22" x14ac:dyDescent="0.3">
      <c r="A122" s="343">
        <v>12</v>
      </c>
      <c r="B122" s="286" t="s">
        <v>53</v>
      </c>
      <c r="C122" s="286">
        <v>35.238999999999997</v>
      </c>
      <c r="D122" s="286">
        <v>2277.7523999999999</v>
      </c>
      <c r="E122" s="286">
        <v>2.9460000000000002</v>
      </c>
      <c r="F122" s="286">
        <v>0.21</v>
      </c>
      <c r="G122" s="286">
        <v>0.61865999999999999</v>
      </c>
      <c r="H122" s="286">
        <v>0.53400000000000003</v>
      </c>
      <c r="I122" s="286">
        <v>76.25238936944595</v>
      </c>
      <c r="J122" s="286">
        <v>5.8714762490999998E-3</v>
      </c>
      <c r="K122" s="226">
        <v>119999999.99999999</v>
      </c>
      <c r="M122" s="285">
        <v>0.53400000000000003</v>
      </c>
      <c r="N122" s="286">
        <v>-0.16518222000000002</v>
      </c>
      <c r="O122" s="226">
        <v>9.4906350000000007E-3</v>
      </c>
      <c r="Q122" s="343">
        <v>12</v>
      </c>
      <c r="R122" s="286">
        <v>3.7099999999999973</v>
      </c>
      <c r="S122" s="286">
        <v>0.53400000000000003</v>
      </c>
      <c r="T122" s="286">
        <v>76.25238936944595</v>
      </c>
      <c r="U122" s="286">
        <v>0.15106665867538405</v>
      </c>
      <c r="V122" s="226">
        <v>260.84176397949642</v>
      </c>
    </row>
    <row r="123" spans="1:22" x14ac:dyDescent="0.3">
      <c r="A123" s="343">
        <v>13</v>
      </c>
      <c r="B123" s="286" t="s">
        <v>54</v>
      </c>
      <c r="C123" s="286">
        <v>38.948</v>
      </c>
      <c r="D123" s="286">
        <v>1490.2111950000001</v>
      </c>
      <c r="E123" s="286">
        <v>2.7229999999999999</v>
      </c>
      <c r="F123" s="286">
        <v>0.18</v>
      </c>
      <c r="G123" s="286">
        <v>0.49013999999999996</v>
      </c>
      <c r="H123" s="286">
        <v>0.53400000000000003</v>
      </c>
      <c r="I123" s="286">
        <v>64.336323559556135</v>
      </c>
      <c r="J123" s="286">
        <v>3.0433838129887503E-3</v>
      </c>
      <c r="K123" s="226">
        <v>119999999.99999999</v>
      </c>
      <c r="M123" s="285">
        <v>0.53400000000000003</v>
      </c>
      <c r="N123" s="286">
        <v>-0.13086738000000001</v>
      </c>
      <c r="O123" s="226">
        <v>6.2092133125000015E-3</v>
      </c>
      <c r="Q123" s="343">
        <v>13</v>
      </c>
      <c r="R123" s="286">
        <v>3.7090000000000032</v>
      </c>
      <c r="S123" s="286">
        <v>0.53400000000000003</v>
      </c>
      <c r="T123" s="286">
        <v>64.336323559556135</v>
      </c>
      <c r="U123" s="286">
        <v>0.12742490845999838</v>
      </c>
      <c r="V123" s="226">
        <v>220.02034194093051</v>
      </c>
    </row>
    <row r="124" spans="1:22" x14ac:dyDescent="0.3">
      <c r="A124" s="343">
        <v>14</v>
      </c>
      <c r="B124" s="286" t="s">
        <v>54</v>
      </c>
      <c r="C124" s="286">
        <v>42.656999999999996</v>
      </c>
      <c r="D124" s="286">
        <v>869.48119500000007</v>
      </c>
      <c r="E124" s="286">
        <v>2.5009999999999999</v>
      </c>
      <c r="F124" s="286">
        <v>0.18</v>
      </c>
      <c r="G124" s="286">
        <v>0.45017999999999997</v>
      </c>
      <c r="H124" s="286">
        <v>0.53400000000000003</v>
      </c>
      <c r="I124" s="286">
        <v>35.850569851364256</v>
      </c>
      <c r="J124" s="286">
        <v>1.6309293515212502E-3</v>
      </c>
      <c r="K124" s="226">
        <v>119999999.99999999</v>
      </c>
      <c r="M124" s="285">
        <v>0.53400000000000003</v>
      </c>
      <c r="N124" s="286">
        <v>-0.12019806</v>
      </c>
      <c r="O124" s="226">
        <v>3.6228383125000009E-3</v>
      </c>
      <c r="Q124" s="343">
        <v>14</v>
      </c>
      <c r="R124" s="286">
        <v>3.7089999999999961</v>
      </c>
      <c r="S124" s="286">
        <v>0.53400000000000003</v>
      </c>
      <c r="T124" s="286">
        <v>35.850569851364256</v>
      </c>
      <c r="U124" s="286">
        <v>7.1005853751031078E-2</v>
      </c>
      <c r="V124" s="226">
        <v>122.60344081011365</v>
      </c>
    </row>
    <row r="125" spans="1:22" x14ac:dyDescent="0.3">
      <c r="A125" s="343">
        <v>15</v>
      </c>
      <c r="B125" s="286" t="s">
        <v>54</v>
      </c>
      <c r="C125" s="286">
        <v>46.366999999999997</v>
      </c>
      <c r="D125" s="286">
        <v>414.90718500000003</v>
      </c>
      <c r="E125" s="286">
        <v>2.278</v>
      </c>
      <c r="F125" s="286">
        <v>0.18</v>
      </c>
      <c r="G125" s="286">
        <v>0.41004000000000002</v>
      </c>
      <c r="H125" s="286">
        <v>0.53400000000000003</v>
      </c>
      <c r="I125" s="286">
        <v>17.240518433004894</v>
      </c>
      <c r="J125" s="286">
        <v>7.0886892557250024E-4</v>
      </c>
      <c r="K125" s="226">
        <v>119999999.99999999</v>
      </c>
      <c r="M125" s="285">
        <v>0.53400000000000003</v>
      </c>
      <c r="N125" s="286">
        <v>-0.10948068000000001</v>
      </c>
      <c r="O125" s="226">
        <v>1.7287799375000005E-3</v>
      </c>
      <c r="Q125" s="343">
        <v>15</v>
      </c>
      <c r="R125" s="286">
        <v>3.7100000000000009</v>
      </c>
      <c r="S125" s="286">
        <v>0.53400000000000003</v>
      </c>
      <c r="T125" s="286">
        <v>17.240518433004894</v>
      </c>
      <c r="U125" s="286">
        <v>3.4155880688363331E-2</v>
      </c>
      <c r="V125" s="226">
        <v>58.975820655240682</v>
      </c>
    </row>
    <row r="126" spans="1:22" x14ac:dyDescent="0.3">
      <c r="A126" s="343">
        <v>16</v>
      </c>
      <c r="B126" s="286" t="s">
        <v>54</v>
      </c>
      <c r="C126" s="286">
        <v>49.457999999999998</v>
      </c>
      <c r="D126" s="286">
        <v>160.8164415</v>
      </c>
      <c r="E126" s="286">
        <v>2.0960000000000001</v>
      </c>
      <c r="F126" s="286">
        <v>0.18</v>
      </c>
      <c r="G126" s="286">
        <v>0.37728</v>
      </c>
      <c r="H126" s="286">
        <v>0.53400000000000003</v>
      </c>
      <c r="I126" s="286">
        <v>6.9045982494946969</v>
      </c>
      <c r="J126" s="286">
        <v>2.52803446038E-4</v>
      </c>
      <c r="K126" s="226">
        <v>119999999.99999999</v>
      </c>
      <c r="M126" s="285">
        <v>0.53400000000000003</v>
      </c>
      <c r="N126" s="286">
        <v>-0.10073376000000001</v>
      </c>
      <c r="O126" s="226">
        <v>6.7006850625000005E-4</v>
      </c>
      <c r="Q126" s="343">
        <v>16</v>
      </c>
      <c r="R126" s="286">
        <v>3.0910000000000011</v>
      </c>
      <c r="S126" s="286">
        <v>0.53400000000000003</v>
      </c>
      <c r="T126" s="286">
        <v>6.9045982494946969</v>
      </c>
      <c r="U126" s="286">
        <v>1.1396688443026454E-2</v>
      </c>
      <c r="V126" s="226">
        <v>19.678282044959008</v>
      </c>
    </row>
    <row r="127" spans="1:22" x14ac:dyDescent="0.3">
      <c r="A127" s="343">
        <v>17</v>
      </c>
      <c r="B127" s="286" t="s">
        <v>54</v>
      </c>
      <c r="C127" s="286">
        <v>51.930999999999997</v>
      </c>
      <c r="D127" s="286">
        <v>44.687659500000002</v>
      </c>
      <c r="E127" s="286">
        <v>1.887</v>
      </c>
      <c r="F127" s="286">
        <v>0.18</v>
      </c>
      <c r="G127" s="286">
        <v>0.33965999999999996</v>
      </c>
      <c r="H127" s="286">
        <v>0.53400000000000003</v>
      </c>
      <c r="I127" s="286">
        <v>2.0785904734009586</v>
      </c>
      <c r="J127" s="286">
        <v>6.3244210107375E-5</v>
      </c>
      <c r="K127" s="226">
        <v>119999999.99999999</v>
      </c>
      <c r="M127" s="285">
        <v>0.53400000000000003</v>
      </c>
      <c r="N127" s="286">
        <v>-9.0689220000000001E-2</v>
      </c>
      <c r="O127" s="226">
        <v>1.8619858125000003E-4</v>
      </c>
      <c r="Q127" s="343">
        <v>17</v>
      </c>
      <c r="R127" s="286">
        <v>2.472999999999999</v>
      </c>
      <c r="S127" s="286">
        <v>0.53400000000000003</v>
      </c>
      <c r="T127" s="286">
        <v>2.0785904734009586</v>
      </c>
      <c r="U127" s="286">
        <v>2.7449491645447836E-3</v>
      </c>
      <c r="V127" s="226">
        <v>4.7396122241139924</v>
      </c>
    </row>
    <row r="128" spans="1:22" x14ac:dyDescent="0.3">
      <c r="A128" s="343">
        <v>18</v>
      </c>
      <c r="B128" s="286" t="s">
        <v>54</v>
      </c>
      <c r="C128" s="286">
        <v>54.404000000000003</v>
      </c>
      <c r="D128" s="286">
        <v>2.2130113499999999</v>
      </c>
      <c r="E128" s="286">
        <v>1.284</v>
      </c>
      <c r="F128" s="286">
        <v>0.18</v>
      </c>
      <c r="G128" s="286">
        <v>0.23111999999999999</v>
      </c>
      <c r="H128" s="286">
        <v>0.53400000000000003</v>
      </c>
      <c r="I128" s="286">
        <v>0.14961883445054683</v>
      </c>
      <c r="J128" s="286">
        <v>2.1311299300500001E-6</v>
      </c>
      <c r="K128" s="226">
        <v>119999999.99999999</v>
      </c>
      <c r="M128" s="285">
        <v>0.53400000000000003</v>
      </c>
      <c r="N128" s="286">
        <v>-6.170904E-2</v>
      </c>
      <c r="O128" s="226">
        <v>9.2208806249999996E-6</v>
      </c>
      <c r="Q128" s="343">
        <v>18</v>
      </c>
      <c r="R128" s="286">
        <v>2.4730000000000061</v>
      </c>
      <c r="S128" s="286">
        <v>0.53400000000000003</v>
      </c>
      <c r="T128" s="286">
        <v>0.14961883445054683</v>
      </c>
      <c r="U128" s="286">
        <v>1.9758393963637254E-4</v>
      </c>
      <c r="V128" s="226">
        <v>0.34116160243880322</v>
      </c>
    </row>
    <row r="129" spans="1:26" ht="14.5" thickBot="1" x14ac:dyDescent="0.35">
      <c r="A129" s="344">
        <v>19</v>
      </c>
      <c r="B129" s="227" t="s">
        <v>54</v>
      </c>
      <c r="C129" s="227">
        <v>55.64</v>
      </c>
      <c r="D129" s="227">
        <v>1.289101935E-5</v>
      </c>
      <c r="E129" s="227">
        <v>1.284</v>
      </c>
      <c r="F129" s="227">
        <v>0.18</v>
      </c>
      <c r="G129" s="227">
        <v>0.23111999999999999</v>
      </c>
      <c r="H129" s="227">
        <v>0.53400000000000003</v>
      </c>
      <c r="I129" s="227">
        <v>8.704167354627071E-7</v>
      </c>
      <c r="J129" s="227">
        <v>1.2414051634050001E-11</v>
      </c>
      <c r="K129" s="228">
        <v>119999999.99999999</v>
      </c>
      <c r="M129" s="287">
        <v>0.53400000000000003</v>
      </c>
      <c r="N129" s="227">
        <v>-6.170904E-2</v>
      </c>
      <c r="O129" s="228">
        <v>5.3712580625000007E-11</v>
      </c>
      <c r="Q129" s="344">
        <v>19</v>
      </c>
      <c r="R129" s="227">
        <v>1.2359999999999971</v>
      </c>
      <c r="S129" s="227">
        <v>0.53400000000000003</v>
      </c>
      <c r="T129" s="227">
        <v>8.704167354627071E-7</v>
      </c>
      <c r="U129" s="227">
        <v>5.7449593540703647E-10</v>
      </c>
      <c r="V129" s="228">
        <v>9.919629818028162E-7</v>
      </c>
    </row>
    <row r="130" spans="1:26" x14ac:dyDescent="0.3">
      <c r="U130" t="s">
        <v>499</v>
      </c>
      <c r="V130">
        <v>7847.846694027241</v>
      </c>
      <c r="W130" t="s">
        <v>500</v>
      </c>
    </row>
    <row r="131" spans="1:26" x14ac:dyDescent="0.3">
      <c r="U131" t="s">
        <v>501</v>
      </c>
      <c r="V131">
        <v>11.246666666666666</v>
      </c>
      <c r="W131" t="s">
        <v>502</v>
      </c>
    </row>
    <row r="132" spans="1:26" x14ac:dyDescent="0.3">
      <c r="U132" t="s">
        <v>503</v>
      </c>
      <c r="V132">
        <v>88262.115818826365</v>
      </c>
      <c r="W132" t="s">
        <v>504</v>
      </c>
    </row>
    <row r="133" spans="1:26" x14ac:dyDescent="0.3">
      <c r="V133">
        <v>70609.692655061095</v>
      </c>
      <c r="W133" t="s">
        <v>386</v>
      </c>
      <c r="X133" s="256" t="s">
        <v>193</v>
      </c>
      <c r="Y133" s="256"/>
      <c r="Z133" s="256"/>
    </row>
    <row r="153" spans="1:19" ht="18" thickBot="1" x14ac:dyDescent="0.4">
      <c r="A153" s="281" t="s">
        <v>517</v>
      </c>
    </row>
    <row r="154" spans="1:19" ht="14.5" thickBot="1" x14ac:dyDescent="0.35">
      <c r="A154" s="252" t="s">
        <v>212</v>
      </c>
      <c r="B154" s="141"/>
      <c r="C154" s="141"/>
      <c r="D154" s="115" t="s">
        <v>214</v>
      </c>
      <c r="E154" s="141"/>
      <c r="F154" s="142"/>
      <c r="G154" s="274" t="s">
        <v>463</v>
      </c>
      <c r="H154" s="275"/>
      <c r="I154" s="124" t="s">
        <v>465</v>
      </c>
      <c r="J154" s="276" t="s">
        <v>443</v>
      </c>
      <c r="K154" s="277"/>
      <c r="L154" s="278" t="s">
        <v>84</v>
      </c>
      <c r="M154" s="275"/>
      <c r="N154" s="40"/>
      <c r="O154" s="224" t="s">
        <v>464</v>
      </c>
      <c r="P154" s="40"/>
      <c r="Q154" s="40"/>
      <c r="R154" s="40"/>
      <c r="S154" s="40"/>
    </row>
    <row r="155" spans="1:19" ht="14.5" thickBot="1" x14ac:dyDescent="0.35">
      <c r="A155" s="143" t="s">
        <v>213</v>
      </c>
      <c r="B155" s="40">
        <v>79.251999999999995</v>
      </c>
      <c r="C155" s="40" t="s">
        <v>197</v>
      </c>
      <c r="D155" s="309" t="s">
        <v>216</v>
      </c>
      <c r="E155" s="40" t="s">
        <v>215</v>
      </c>
      <c r="F155" s="77"/>
      <c r="G155" s="78">
        <v>3848</v>
      </c>
      <c r="H155" s="79" t="s">
        <v>466</v>
      </c>
      <c r="I155" s="307" t="s">
        <v>441</v>
      </c>
      <c r="J155" s="78">
        <f>G155*0.12</f>
        <v>461.76</v>
      </c>
      <c r="K155" s="79" t="s">
        <v>462</v>
      </c>
      <c r="L155" s="56">
        <f>J155*B156</f>
        <v>119104.98912</v>
      </c>
      <c r="M155" s="79" t="s">
        <v>386</v>
      </c>
      <c r="N155" s="238" t="s">
        <v>435</v>
      </c>
      <c r="O155" s="40"/>
      <c r="P155" s="40"/>
      <c r="Q155" s="40"/>
      <c r="R155" s="40"/>
      <c r="S155" s="40"/>
    </row>
    <row r="156" spans="1:19" x14ac:dyDescent="0.3">
      <c r="A156" s="143" t="s">
        <v>177</v>
      </c>
      <c r="B156" s="40">
        <v>257.93700000000001</v>
      </c>
      <c r="C156" s="40" t="s">
        <v>165</v>
      </c>
      <c r="D156" s="224" t="s">
        <v>217</v>
      </c>
      <c r="E156" s="40">
        <v>210</v>
      </c>
      <c r="F156" s="77" t="s">
        <v>63</v>
      </c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</row>
    <row r="157" spans="1:19" x14ac:dyDescent="0.3">
      <c r="A157" s="76"/>
      <c r="B157" s="40"/>
      <c r="C157" s="40"/>
      <c r="D157" s="309" t="s">
        <v>218</v>
      </c>
      <c r="E157" s="40">
        <v>80.769000000000005</v>
      </c>
      <c r="F157" s="77" t="s">
        <v>63</v>
      </c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</row>
    <row r="158" spans="1:19" x14ac:dyDescent="0.3">
      <c r="A158" s="76"/>
      <c r="B158" s="40"/>
      <c r="C158" s="40"/>
      <c r="D158" s="224" t="s">
        <v>219</v>
      </c>
      <c r="E158" s="40">
        <v>8500</v>
      </c>
      <c r="F158" s="77" t="s">
        <v>64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</row>
    <row r="159" spans="1:19" x14ac:dyDescent="0.3">
      <c r="A159" s="76"/>
      <c r="B159" s="40"/>
      <c r="C159" s="40"/>
      <c r="D159" s="224" t="s">
        <v>221</v>
      </c>
      <c r="E159" s="40">
        <v>355</v>
      </c>
      <c r="F159" s="77" t="s">
        <v>220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</row>
    <row r="160" spans="1:19" ht="14.5" thickBot="1" x14ac:dyDescent="0.35">
      <c r="A160" s="78"/>
      <c r="B160" s="57"/>
      <c r="C160" s="57"/>
      <c r="D160" s="308" t="s">
        <v>223</v>
      </c>
      <c r="E160" s="57">
        <v>4.4029999999999996</v>
      </c>
      <c r="F160" s="79" t="s">
        <v>197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</row>
    <row r="161" spans="1:19" ht="14.5" thickBo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</row>
    <row r="162" spans="1:19" ht="14.5" thickBot="1" x14ac:dyDescent="0.35">
      <c r="A162" s="114" t="s">
        <v>222</v>
      </c>
      <c r="B162" s="115" t="s">
        <v>225</v>
      </c>
      <c r="C162" s="115" t="s">
        <v>224</v>
      </c>
      <c r="D162" s="116" t="s">
        <v>226</v>
      </c>
    </row>
    <row r="163" spans="1:19" x14ac:dyDescent="0.3">
      <c r="A163" s="222">
        <v>1</v>
      </c>
      <c r="B163" s="109">
        <f>$E$160*A163</f>
        <v>4.4029999999999996</v>
      </c>
      <c r="C163" s="109">
        <v>5.375</v>
      </c>
      <c r="D163" s="110">
        <v>31</v>
      </c>
    </row>
    <row r="164" spans="1:19" x14ac:dyDescent="0.3">
      <c r="A164" s="101">
        <v>2</v>
      </c>
      <c r="B164" s="310">
        <f t="shared" ref="B164:B180" si="0">$E$160*A164</f>
        <v>8.8059999999999992</v>
      </c>
      <c r="C164" s="310">
        <v>5.2679999999999998</v>
      </c>
      <c r="D164" s="77">
        <v>31</v>
      </c>
    </row>
    <row r="165" spans="1:19" x14ac:dyDescent="0.3">
      <c r="A165" s="101">
        <v>3</v>
      </c>
      <c r="B165" s="310">
        <f t="shared" si="0"/>
        <v>13.209</v>
      </c>
      <c r="C165" s="310">
        <v>5.1609999999999996</v>
      </c>
      <c r="D165" s="77">
        <v>30</v>
      </c>
    </row>
    <row r="166" spans="1:19" x14ac:dyDescent="0.3">
      <c r="A166" s="101">
        <v>4</v>
      </c>
      <c r="B166" s="310">
        <f t="shared" si="0"/>
        <v>17.611999999999998</v>
      </c>
      <c r="C166" s="310">
        <v>5.0540000000000003</v>
      </c>
      <c r="D166" s="77">
        <v>30</v>
      </c>
    </row>
    <row r="167" spans="1:19" x14ac:dyDescent="0.3">
      <c r="A167" s="101">
        <v>5</v>
      </c>
      <c r="B167" s="310">
        <f t="shared" si="0"/>
        <v>22.014999999999997</v>
      </c>
      <c r="C167" s="310">
        <v>4.9459999999999997</v>
      </c>
      <c r="D167" s="77">
        <v>29</v>
      </c>
    </row>
    <row r="168" spans="1:19" x14ac:dyDescent="0.3">
      <c r="A168" s="101">
        <v>6</v>
      </c>
      <c r="B168" s="310">
        <f t="shared" si="0"/>
        <v>26.417999999999999</v>
      </c>
      <c r="C168" s="310">
        <v>4.8390000000000004</v>
      </c>
      <c r="D168" s="77">
        <v>29</v>
      </c>
    </row>
    <row r="169" spans="1:19" x14ac:dyDescent="0.3">
      <c r="A169" s="101">
        <v>7</v>
      </c>
      <c r="B169" s="310">
        <f t="shared" si="0"/>
        <v>30.820999999999998</v>
      </c>
      <c r="C169" s="310">
        <v>4.7320000000000002</v>
      </c>
      <c r="D169" s="77">
        <v>28</v>
      </c>
    </row>
    <row r="170" spans="1:19" x14ac:dyDescent="0.3">
      <c r="A170" s="101">
        <v>8</v>
      </c>
      <c r="B170" s="310">
        <f t="shared" si="0"/>
        <v>35.223999999999997</v>
      </c>
      <c r="C170" s="310">
        <v>4.625</v>
      </c>
      <c r="D170" s="77">
        <v>28</v>
      </c>
    </row>
    <row r="171" spans="1:19" x14ac:dyDescent="0.3">
      <c r="A171" s="101">
        <v>9</v>
      </c>
      <c r="B171" s="310">
        <f t="shared" si="0"/>
        <v>39.626999999999995</v>
      </c>
      <c r="C171" s="310">
        <v>4.5179999999999998</v>
      </c>
      <c r="D171" s="77">
        <v>27</v>
      </c>
    </row>
    <row r="172" spans="1:19" x14ac:dyDescent="0.3">
      <c r="A172" s="101">
        <v>10</v>
      </c>
      <c r="B172" s="310">
        <f t="shared" si="0"/>
        <v>44.029999999999994</v>
      </c>
      <c r="C172" s="310">
        <v>4.4109999999999996</v>
      </c>
      <c r="D172" s="77">
        <v>27</v>
      </c>
    </row>
    <row r="173" spans="1:19" x14ac:dyDescent="0.3">
      <c r="A173" s="101">
        <v>11</v>
      </c>
      <c r="B173" s="310">
        <f t="shared" si="0"/>
        <v>48.432999999999993</v>
      </c>
      <c r="C173" s="310">
        <v>4.3040000000000003</v>
      </c>
      <c r="D173" s="77">
        <v>26</v>
      </c>
    </row>
    <row r="174" spans="1:19" x14ac:dyDescent="0.3">
      <c r="A174" s="101">
        <v>12</v>
      </c>
      <c r="B174" s="310">
        <f t="shared" si="0"/>
        <v>52.835999999999999</v>
      </c>
      <c r="C174" s="310">
        <v>4.1970000000000001</v>
      </c>
      <c r="D174" s="77">
        <v>26</v>
      </c>
    </row>
    <row r="175" spans="1:19" x14ac:dyDescent="0.3">
      <c r="A175" s="101">
        <v>13</v>
      </c>
      <c r="B175" s="310">
        <f t="shared" si="0"/>
        <v>57.238999999999997</v>
      </c>
      <c r="C175" s="310">
        <v>4.09</v>
      </c>
      <c r="D175" s="77">
        <v>25</v>
      </c>
    </row>
    <row r="176" spans="1:19" x14ac:dyDescent="0.3">
      <c r="A176" s="101">
        <v>14</v>
      </c>
      <c r="B176" s="310">
        <f t="shared" si="0"/>
        <v>61.641999999999996</v>
      </c>
      <c r="C176" s="310">
        <v>3.9830000000000001</v>
      </c>
      <c r="D176" s="77">
        <v>25</v>
      </c>
    </row>
    <row r="177" spans="1:12" x14ac:dyDescent="0.3">
      <c r="A177" s="101">
        <v>15</v>
      </c>
      <c r="B177" s="310">
        <f t="shared" si="0"/>
        <v>66.044999999999987</v>
      </c>
      <c r="C177" s="310">
        <v>3.8759999999999999</v>
      </c>
      <c r="D177" s="77">
        <v>24</v>
      </c>
    </row>
    <row r="178" spans="1:12" x14ac:dyDescent="0.3">
      <c r="A178" s="101">
        <v>16</v>
      </c>
      <c r="B178" s="310">
        <f t="shared" si="0"/>
        <v>70.447999999999993</v>
      </c>
      <c r="C178" s="310">
        <v>3.7690000000000001</v>
      </c>
      <c r="D178" s="77">
        <v>24</v>
      </c>
    </row>
    <row r="179" spans="1:12" x14ac:dyDescent="0.3">
      <c r="A179" s="101">
        <v>17</v>
      </c>
      <c r="B179" s="310">
        <f t="shared" si="0"/>
        <v>74.850999999999999</v>
      </c>
      <c r="C179" s="310">
        <v>3.6619999999999999</v>
      </c>
      <c r="D179" s="77">
        <v>23</v>
      </c>
    </row>
    <row r="180" spans="1:12" ht="14.5" thickBot="1" x14ac:dyDescent="0.35">
      <c r="A180" s="102">
        <v>18</v>
      </c>
      <c r="B180" s="57">
        <f t="shared" si="0"/>
        <v>79.253999999999991</v>
      </c>
      <c r="C180" s="57">
        <v>3.5550000000000002</v>
      </c>
      <c r="D180" s="79">
        <v>23</v>
      </c>
    </row>
    <row r="181" spans="1:12" ht="14.5" thickBot="1" x14ac:dyDescent="0.35"/>
    <row r="182" spans="1:12" ht="16" thickBot="1" x14ac:dyDescent="0.4">
      <c r="A182" s="289" t="s">
        <v>136</v>
      </c>
      <c r="B182" s="311" t="s">
        <v>227</v>
      </c>
      <c r="C182" s="229">
        <v>13.06786080387964</v>
      </c>
      <c r="D182" s="230" t="s">
        <v>25</v>
      </c>
      <c r="F182" s="299" t="s">
        <v>519</v>
      </c>
    </row>
    <row r="183" spans="1:12" ht="42" x14ac:dyDescent="0.3">
      <c r="A183" s="300" t="s">
        <v>136</v>
      </c>
      <c r="B183" s="293"/>
      <c r="C183" s="286">
        <v>0.21779768006466066</v>
      </c>
      <c r="D183" s="226" t="s">
        <v>228</v>
      </c>
      <c r="F183" s="289" t="s">
        <v>520</v>
      </c>
      <c r="G183" s="290" t="s">
        <v>521</v>
      </c>
      <c r="H183" s="290" t="s">
        <v>522</v>
      </c>
      <c r="I183" s="290" t="s">
        <v>523</v>
      </c>
      <c r="J183" s="290" t="s">
        <v>524</v>
      </c>
      <c r="K183" s="290" t="s">
        <v>525</v>
      </c>
      <c r="L183" s="291" t="s">
        <v>263</v>
      </c>
    </row>
    <row r="184" spans="1:12" x14ac:dyDescent="0.3">
      <c r="A184" s="300" t="s">
        <v>229</v>
      </c>
      <c r="B184" s="293" t="s">
        <v>230</v>
      </c>
      <c r="C184" s="286">
        <v>1</v>
      </c>
      <c r="D184" s="226"/>
      <c r="F184" s="343">
        <v>1</v>
      </c>
      <c r="G184" s="286">
        <v>1.6666666666666666E-2</v>
      </c>
      <c r="H184" s="286">
        <v>3.3333333333333333E-2</v>
      </c>
      <c r="I184" s="286">
        <v>0.05</v>
      </c>
      <c r="J184" s="286">
        <v>0.34993000000000002</v>
      </c>
      <c r="K184" s="286">
        <v>0.35137200000000002</v>
      </c>
      <c r="L184" s="226">
        <v>0.80320499999999995</v>
      </c>
    </row>
    <row r="185" spans="1:12" x14ac:dyDescent="0.3">
      <c r="A185" s="300" t="s">
        <v>231</v>
      </c>
      <c r="B185" s="293" t="s">
        <v>518</v>
      </c>
      <c r="C185" s="286">
        <v>0.21779768006466066</v>
      </c>
      <c r="D185" s="226" t="s">
        <v>232</v>
      </c>
      <c r="F185" s="343">
        <v>2</v>
      </c>
      <c r="G185" s="286">
        <v>3.3333333333333333E-2</v>
      </c>
      <c r="H185" s="286">
        <v>6.6666666666666666E-2</v>
      </c>
      <c r="I185" s="286">
        <v>0.1</v>
      </c>
      <c r="J185" s="286">
        <v>0.34993000000000002</v>
      </c>
      <c r="K185" s="286">
        <v>0.35137200000000002</v>
      </c>
      <c r="L185" s="226">
        <v>0.80320499999999995</v>
      </c>
    </row>
    <row r="186" spans="1:12" x14ac:dyDescent="0.3">
      <c r="A186" s="300" t="s">
        <v>233</v>
      </c>
      <c r="B186" s="293" t="s">
        <v>234</v>
      </c>
      <c r="C186" s="286">
        <v>2</v>
      </c>
      <c r="D186" s="226"/>
      <c r="F186" s="343">
        <v>3</v>
      </c>
      <c r="G186" s="286">
        <v>0.05</v>
      </c>
      <c r="H186" s="286">
        <v>0.1</v>
      </c>
      <c r="I186" s="286">
        <v>0.15000000000000002</v>
      </c>
      <c r="J186" s="286">
        <v>0.34993000000000002</v>
      </c>
      <c r="K186" s="286">
        <v>0.35137200000000002</v>
      </c>
      <c r="L186" s="226">
        <v>0.80320499999999995</v>
      </c>
    </row>
    <row r="187" spans="1:12" x14ac:dyDescent="0.3">
      <c r="A187" s="300" t="s">
        <v>235</v>
      </c>
      <c r="B187" s="293" t="s">
        <v>236</v>
      </c>
      <c r="C187" s="286">
        <v>0.43559536012932132</v>
      </c>
      <c r="D187" s="226" t="s">
        <v>232</v>
      </c>
      <c r="F187" s="343">
        <v>4</v>
      </c>
      <c r="G187" s="286">
        <v>6.6666666666666666E-2</v>
      </c>
      <c r="H187" s="286">
        <v>0.13333333333333333</v>
      </c>
      <c r="I187" s="286">
        <v>0.2</v>
      </c>
      <c r="J187" s="286">
        <v>0.34993000000000002</v>
      </c>
      <c r="K187" s="286">
        <v>0.35137200000000002</v>
      </c>
      <c r="L187" s="226">
        <v>0.80320499999999995</v>
      </c>
    </row>
    <row r="188" spans="1:12" x14ac:dyDescent="0.3">
      <c r="A188" s="300" t="s">
        <v>237</v>
      </c>
      <c r="B188" s="293" t="s">
        <v>238</v>
      </c>
      <c r="C188" s="286">
        <v>3</v>
      </c>
      <c r="D188" s="226"/>
      <c r="F188" s="343">
        <v>5</v>
      </c>
      <c r="G188" s="286">
        <v>8.3333333333333329E-2</v>
      </c>
      <c r="H188" s="286">
        <v>0.16666666666666666</v>
      </c>
      <c r="I188" s="286">
        <v>0.25</v>
      </c>
      <c r="J188" s="286">
        <v>0.34993000000000002</v>
      </c>
      <c r="K188" s="286">
        <v>0.35137200000000002</v>
      </c>
      <c r="L188" s="226">
        <v>0.80320499999999995</v>
      </c>
    </row>
    <row r="189" spans="1:12" x14ac:dyDescent="0.3">
      <c r="A189" s="300" t="s">
        <v>239</v>
      </c>
      <c r="B189" s="293" t="s">
        <v>240</v>
      </c>
      <c r="C189" s="286">
        <v>0.65339304019398203</v>
      </c>
      <c r="D189" s="226" t="s">
        <v>232</v>
      </c>
      <c r="F189" s="343">
        <v>6</v>
      </c>
      <c r="G189" s="286">
        <v>0.1</v>
      </c>
      <c r="H189" s="286">
        <v>0.2</v>
      </c>
      <c r="I189" s="286">
        <v>0.30000000000000004</v>
      </c>
      <c r="J189" s="286">
        <v>0.34993000000000002</v>
      </c>
      <c r="K189" s="286">
        <v>0.35137200000000002</v>
      </c>
      <c r="L189" s="226">
        <v>0.80320499999999995</v>
      </c>
    </row>
    <row r="190" spans="1:12" x14ac:dyDescent="0.3">
      <c r="A190" s="300"/>
      <c r="B190" s="293"/>
      <c r="C190" s="286"/>
      <c r="D190" s="226"/>
      <c r="F190" s="343">
        <v>7</v>
      </c>
      <c r="G190" s="286">
        <v>0.11666666666666667</v>
      </c>
      <c r="H190" s="286">
        <v>0.23333333333333334</v>
      </c>
      <c r="I190" s="286">
        <v>0.35</v>
      </c>
      <c r="J190" s="286">
        <v>0.34993000000000002</v>
      </c>
      <c r="K190" s="286">
        <v>0.35137200000000002</v>
      </c>
      <c r="L190" s="226">
        <v>0.80320499999999995</v>
      </c>
    </row>
    <row r="191" spans="1:12" x14ac:dyDescent="0.3">
      <c r="A191" s="300"/>
      <c r="B191" s="293"/>
      <c r="C191" s="286"/>
      <c r="D191" s="226"/>
      <c r="F191" s="343">
        <v>8</v>
      </c>
      <c r="G191" s="286">
        <v>0.13333333333333333</v>
      </c>
      <c r="H191" s="286">
        <v>0.26666666666666666</v>
      </c>
      <c r="I191" s="286">
        <v>0.4</v>
      </c>
      <c r="J191" s="286">
        <v>0.34993000000000002</v>
      </c>
      <c r="K191" s="286">
        <v>0.35137200000000002</v>
      </c>
      <c r="L191" s="226">
        <v>0.80320499999999995</v>
      </c>
    </row>
    <row r="192" spans="1:12" x14ac:dyDescent="0.3">
      <c r="A192" s="300" t="s">
        <v>242</v>
      </c>
      <c r="B192" s="293" t="s">
        <v>243</v>
      </c>
      <c r="C192" s="286">
        <v>0.34993000000000002</v>
      </c>
      <c r="D192" s="226" t="s">
        <v>232</v>
      </c>
      <c r="F192" s="343">
        <v>9</v>
      </c>
      <c r="G192" s="286">
        <v>0.15</v>
      </c>
      <c r="H192" s="286">
        <v>0.3</v>
      </c>
      <c r="I192" s="286">
        <v>0.44999999999999996</v>
      </c>
      <c r="J192" s="286">
        <v>0.34993000000000002</v>
      </c>
      <c r="K192" s="286">
        <v>0.35137200000000002</v>
      </c>
      <c r="L192" s="226">
        <v>0.80320499999999995</v>
      </c>
    </row>
    <row r="193" spans="1:12" x14ac:dyDescent="0.3">
      <c r="A193" s="300" t="s">
        <v>244</v>
      </c>
      <c r="B193" s="293" t="s">
        <v>245</v>
      </c>
      <c r="C193" s="286">
        <v>0.62240356661235285</v>
      </c>
      <c r="D193" s="226" t="s">
        <v>141</v>
      </c>
      <c r="F193" s="343">
        <v>10</v>
      </c>
      <c r="G193" s="286">
        <v>0.16666666666666666</v>
      </c>
      <c r="H193" s="286">
        <v>0.33333333333333331</v>
      </c>
      <c r="I193" s="286">
        <v>0.5</v>
      </c>
      <c r="J193" s="286">
        <v>0.34993000000000002</v>
      </c>
      <c r="K193" s="286">
        <v>0.35137200000000002</v>
      </c>
      <c r="L193" s="226">
        <v>0.80320499999999995</v>
      </c>
    </row>
    <row r="194" spans="1:12" x14ac:dyDescent="0.3">
      <c r="A194" s="300" t="s">
        <v>246</v>
      </c>
      <c r="B194" s="293" t="s">
        <v>247</v>
      </c>
      <c r="C194" s="286">
        <v>1.2448071332247057</v>
      </c>
      <c r="D194" s="226" t="s">
        <v>141</v>
      </c>
      <c r="F194" s="343">
        <v>11</v>
      </c>
      <c r="G194" s="286">
        <v>0.18333333333333332</v>
      </c>
      <c r="H194" s="286">
        <v>0.36666666666666664</v>
      </c>
      <c r="I194" s="286">
        <v>0.54999999999999993</v>
      </c>
      <c r="J194" s="286">
        <v>0.34993000000000002</v>
      </c>
      <c r="K194" s="286">
        <v>0.35137200000000002</v>
      </c>
      <c r="L194" s="226">
        <v>0.80320499999999995</v>
      </c>
    </row>
    <row r="195" spans="1:12" ht="14.5" thickBot="1" x14ac:dyDescent="0.35">
      <c r="A195" s="301" t="s">
        <v>248</v>
      </c>
      <c r="B195" s="312" t="s">
        <v>249</v>
      </c>
      <c r="C195" s="227">
        <v>1.8672106998370588</v>
      </c>
      <c r="D195" s="228" t="s">
        <v>141</v>
      </c>
      <c r="F195" s="343">
        <v>12</v>
      </c>
      <c r="G195" s="286">
        <v>0.2</v>
      </c>
      <c r="H195" s="286">
        <v>0.4</v>
      </c>
      <c r="I195" s="286">
        <v>0.60000000000000009</v>
      </c>
      <c r="J195" s="286">
        <v>0.34993000000000002</v>
      </c>
      <c r="K195" s="286">
        <v>0.35137200000000002</v>
      </c>
      <c r="L195" s="226">
        <v>0.80320499999999995</v>
      </c>
    </row>
    <row r="196" spans="1:12" ht="14.5" thickBot="1" x14ac:dyDescent="0.35">
      <c r="A196" s="289"/>
      <c r="B196" s="311"/>
      <c r="C196" s="229" t="s">
        <v>251</v>
      </c>
      <c r="D196" s="230" t="s">
        <v>252</v>
      </c>
      <c r="F196" s="344">
        <v>13.06786080387964</v>
      </c>
      <c r="G196" s="227">
        <v>0.21779768006466066</v>
      </c>
      <c r="H196" s="227">
        <v>0.43559536012932132</v>
      </c>
      <c r="I196" s="227">
        <v>0.65339304019398203</v>
      </c>
      <c r="J196" s="227">
        <v>0.34993000000000002</v>
      </c>
      <c r="K196" s="227">
        <v>0.35137200000000002</v>
      </c>
      <c r="L196" s="228">
        <v>0.80320499999999995</v>
      </c>
    </row>
    <row r="197" spans="1:12" x14ac:dyDescent="0.3">
      <c r="A197" s="300"/>
      <c r="B197" s="293"/>
      <c r="C197" s="313" t="s">
        <v>253</v>
      </c>
      <c r="D197" s="314" t="s">
        <v>254</v>
      </c>
    </row>
    <row r="198" spans="1:12" x14ac:dyDescent="0.3">
      <c r="A198" s="300"/>
      <c r="B198" s="293"/>
      <c r="C198" s="286"/>
      <c r="D198" s="314">
        <v>0.15</v>
      </c>
    </row>
    <row r="199" spans="1:12" x14ac:dyDescent="0.3">
      <c r="A199" s="300" t="s">
        <v>255</v>
      </c>
      <c r="B199" s="293" t="s">
        <v>256</v>
      </c>
      <c r="C199" s="286">
        <v>1.6323497765838235</v>
      </c>
      <c r="D199" s="226">
        <v>1.5614321674029794</v>
      </c>
    </row>
    <row r="200" spans="1:12" x14ac:dyDescent="0.3">
      <c r="A200" s="300" t="s">
        <v>257</v>
      </c>
      <c r="B200" s="293" t="s">
        <v>258</v>
      </c>
      <c r="C200" s="286">
        <v>-1.8196878615762071</v>
      </c>
      <c r="D200" s="226">
        <v>1.5050642829864265</v>
      </c>
    </row>
    <row r="201" spans="1:12" ht="14.5" thickBot="1" x14ac:dyDescent="0.35">
      <c r="A201" s="301" t="s">
        <v>259</v>
      </c>
      <c r="B201" s="312" t="s">
        <v>260</v>
      </c>
      <c r="C201" s="227">
        <v>-0.40217564191489513</v>
      </c>
      <c r="D201" s="228">
        <v>0.39234260306053764</v>
      </c>
    </row>
    <row r="207" spans="1:12" ht="18" thickBot="1" x14ac:dyDescent="0.4">
      <c r="A207" s="281" t="s">
        <v>526</v>
      </c>
    </row>
    <row r="208" spans="1:12" x14ac:dyDescent="0.3">
      <c r="A208" s="82"/>
      <c r="B208" s="26" t="s">
        <v>100</v>
      </c>
      <c r="C208" s="110"/>
      <c r="D208" s="166" t="s">
        <v>101</v>
      </c>
      <c r="E208" s="40"/>
      <c r="F208" s="40"/>
      <c r="G208" s="40"/>
    </row>
    <row r="209" spans="1:12" x14ac:dyDescent="0.3">
      <c r="A209" s="134" t="s">
        <v>102</v>
      </c>
      <c r="B209" s="167">
        <v>4500000</v>
      </c>
      <c r="C209" s="164" t="s">
        <v>4</v>
      </c>
      <c r="D209" s="40" t="s">
        <v>160</v>
      </c>
      <c r="E209" s="40"/>
      <c r="F209" s="40"/>
      <c r="G209" s="40"/>
    </row>
    <row r="210" spans="1:12" x14ac:dyDescent="0.3">
      <c r="A210" s="134" t="s">
        <v>103</v>
      </c>
      <c r="B210" s="148">
        <v>1</v>
      </c>
      <c r="C210" s="164"/>
      <c r="D210" s="40" t="s">
        <v>159</v>
      </c>
      <c r="E210" s="40"/>
      <c r="F210" s="40"/>
      <c r="G210" s="40"/>
    </row>
    <row r="211" spans="1:12" x14ac:dyDescent="0.3">
      <c r="A211" s="134" t="s">
        <v>104</v>
      </c>
      <c r="B211" s="40">
        <v>13.1</v>
      </c>
      <c r="C211" s="164" t="s">
        <v>25</v>
      </c>
      <c r="D211" s="40"/>
      <c r="E211" s="40"/>
      <c r="F211" s="40"/>
      <c r="G211" s="40"/>
    </row>
    <row r="212" spans="1:12" x14ac:dyDescent="0.3">
      <c r="A212" s="134" t="s">
        <v>104</v>
      </c>
      <c r="B212" s="41">
        <f>B211*2*PI()/60</f>
        <v>1.3718287920675429</v>
      </c>
      <c r="C212" s="164" t="s">
        <v>23</v>
      </c>
      <c r="D212" s="40"/>
      <c r="E212" s="40"/>
      <c r="F212" s="40"/>
      <c r="G212" s="40"/>
    </row>
    <row r="213" spans="1:12" x14ac:dyDescent="0.3">
      <c r="A213" s="134"/>
      <c r="B213" s="40"/>
      <c r="C213" s="164"/>
      <c r="D213" s="40"/>
      <c r="E213" s="40"/>
      <c r="F213" s="40"/>
      <c r="G213" s="40"/>
    </row>
    <row r="214" spans="1:12" x14ac:dyDescent="0.3">
      <c r="A214" s="134" t="s">
        <v>105</v>
      </c>
      <c r="B214" s="167">
        <f>B209/B212</f>
        <v>3280292.720214637</v>
      </c>
      <c r="C214" s="164" t="s">
        <v>106</v>
      </c>
      <c r="D214" s="40"/>
      <c r="E214" s="40"/>
      <c r="F214" s="40"/>
      <c r="G214" s="40"/>
    </row>
    <row r="215" spans="1:12" x14ac:dyDescent="0.3">
      <c r="A215" s="134"/>
      <c r="B215" s="40"/>
      <c r="C215" s="164"/>
      <c r="D215" s="40"/>
      <c r="E215" s="40"/>
      <c r="F215" s="40"/>
      <c r="G215" s="40"/>
    </row>
    <row r="216" spans="1:12" x14ac:dyDescent="0.3">
      <c r="A216" s="134" t="s">
        <v>107</v>
      </c>
      <c r="B216" s="41">
        <v>2</v>
      </c>
      <c r="C216" s="164"/>
      <c r="D216" s="40" t="s">
        <v>161</v>
      </c>
      <c r="E216" s="40"/>
      <c r="F216" s="40"/>
      <c r="G216" s="40"/>
    </row>
    <row r="217" spans="1:12" x14ac:dyDescent="0.3">
      <c r="A217" s="134" t="s">
        <v>379</v>
      </c>
      <c r="B217" s="167">
        <v>40000</v>
      </c>
      <c r="C217" s="164" t="s">
        <v>109</v>
      </c>
      <c r="D217" s="40" t="s">
        <v>110</v>
      </c>
      <c r="E217" s="40"/>
      <c r="F217" s="40"/>
      <c r="G217" s="40"/>
    </row>
    <row r="218" spans="1:12" x14ac:dyDescent="0.3">
      <c r="A218" s="134"/>
      <c r="B218" s="40"/>
      <c r="C218" s="164"/>
      <c r="D218" s="40"/>
      <c r="E218" s="40"/>
      <c r="F218" s="40"/>
      <c r="G218" s="40"/>
    </row>
    <row r="219" spans="1:12" x14ac:dyDescent="0.3">
      <c r="A219" s="134" t="s">
        <v>111</v>
      </c>
      <c r="B219" s="41">
        <f>(B214*B216/B217/2/PI())^(1/3)</f>
        <v>2.9664309616971023</v>
      </c>
      <c r="C219" s="164" t="s">
        <v>12</v>
      </c>
      <c r="D219" s="40"/>
      <c r="E219" s="40"/>
      <c r="F219" s="40"/>
      <c r="G219" s="40"/>
    </row>
    <row r="220" spans="1:12" x14ac:dyDescent="0.3">
      <c r="A220" s="134" t="s">
        <v>112</v>
      </c>
      <c r="B220" s="41">
        <f>B219/B216</f>
        <v>1.4832154808485511</v>
      </c>
      <c r="C220" s="164" t="s">
        <v>12</v>
      </c>
      <c r="D220" s="40"/>
      <c r="E220" s="40"/>
      <c r="F220" s="40"/>
      <c r="G220" s="40"/>
    </row>
    <row r="221" spans="1:12" x14ac:dyDescent="0.3">
      <c r="A221" s="134"/>
      <c r="B221" s="40"/>
      <c r="C221" s="164"/>
      <c r="D221" s="40"/>
      <c r="E221" s="40"/>
      <c r="F221" s="40"/>
      <c r="G221" s="40"/>
    </row>
    <row r="222" spans="1:12" x14ac:dyDescent="0.3">
      <c r="A222" s="134" t="s">
        <v>380</v>
      </c>
      <c r="B222" s="41">
        <f>2*PI()*B219*B220</f>
        <v>27.645112616559704</v>
      </c>
      <c r="C222" s="164" t="s">
        <v>114</v>
      </c>
      <c r="D222" s="40"/>
      <c r="E222" s="40"/>
      <c r="F222" s="40"/>
      <c r="G222" s="315" t="s">
        <v>446</v>
      </c>
      <c r="H222" s="224"/>
      <c r="I222" s="224"/>
      <c r="J222" s="159"/>
      <c r="K222" s="40"/>
      <c r="L222" s="40"/>
    </row>
    <row r="223" spans="1:12" ht="14.5" thickBot="1" x14ac:dyDescent="0.35">
      <c r="A223" s="134" t="s">
        <v>115</v>
      </c>
      <c r="B223" s="41">
        <f>PI()*B219^2*B220</f>
        <v>41.003659002682951</v>
      </c>
      <c r="C223" s="164" t="s">
        <v>116</v>
      </c>
      <c r="D223" s="40"/>
      <c r="E223" s="40"/>
      <c r="F223" s="40"/>
      <c r="G223" s="248" t="s">
        <v>435</v>
      </c>
      <c r="H223" s="40"/>
      <c r="I223" s="40"/>
      <c r="J223" s="40"/>
      <c r="K223" s="40"/>
      <c r="L223" s="40"/>
    </row>
    <row r="224" spans="1:12" ht="14.5" thickBot="1" x14ac:dyDescent="0.35">
      <c r="A224" s="134"/>
      <c r="B224" s="167"/>
      <c r="C224" s="164"/>
      <c r="D224" s="40"/>
      <c r="E224" s="40"/>
      <c r="F224" s="40"/>
      <c r="G224" s="123" t="s">
        <v>421</v>
      </c>
      <c r="H224" s="278" t="s">
        <v>442</v>
      </c>
      <c r="I224" s="278"/>
      <c r="J224" s="124" t="s">
        <v>440</v>
      </c>
      <c r="K224" s="278" t="s">
        <v>443</v>
      </c>
      <c r="L224" s="275"/>
    </row>
    <row r="225" spans="1:12" ht="42" x14ac:dyDescent="0.3">
      <c r="A225" s="231" t="s">
        <v>117</v>
      </c>
      <c r="B225" s="249">
        <f>B$222*'3MW-DDPMG'!B20</f>
        <v>26.545799829054175</v>
      </c>
      <c r="C225" s="163" t="s">
        <v>118</v>
      </c>
      <c r="D225" s="316" t="s">
        <v>119</v>
      </c>
      <c r="E225" s="109"/>
      <c r="F225" s="109"/>
      <c r="G225" s="155" t="s">
        <v>433</v>
      </c>
      <c r="H225" s="109">
        <v>116</v>
      </c>
      <c r="I225" s="109" t="s">
        <v>436</v>
      </c>
      <c r="J225" s="109" t="s">
        <v>441</v>
      </c>
      <c r="K225" s="109">
        <f>H225*0.8</f>
        <v>92.800000000000011</v>
      </c>
      <c r="L225" s="110" t="s">
        <v>438</v>
      </c>
    </row>
    <row r="226" spans="1:12" x14ac:dyDescent="0.3">
      <c r="A226" s="134" t="s">
        <v>162</v>
      </c>
      <c r="B226" s="42">
        <f>B$222*'3MW-DDPMG'!B21</f>
        <v>6.3064607328692226</v>
      </c>
      <c r="C226" s="164" t="s">
        <v>118</v>
      </c>
      <c r="D226" s="40"/>
      <c r="E226" s="40"/>
      <c r="F226" s="40"/>
      <c r="G226" s="143" t="s">
        <v>434</v>
      </c>
      <c r="H226" s="310">
        <v>3.8479999999999999</v>
      </c>
      <c r="I226" s="310" t="s">
        <v>439</v>
      </c>
      <c r="J226" s="310" t="s">
        <v>441</v>
      </c>
      <c r="K226" s="310">
        <f>H226*2240*0.8</f>
        <v>6895.6160000000009</v>
      </c>
      <c r="L226" s="77" t="s">
        <v>437</v>
      </c>
    </row>
    <row r="227" spans="1:12" ht="14.5" thickBot="1" x14ac:dyDescent="0.35">
      <c r="A227" s="135" t="s">
        <v>121</v>
      </c>
      <c r="B227" s="58">
        <f>B$222*'3MW-DDPMG'!B22</f>
        <v>2.493251917645972</v>
      </c>
      <c r="C227" s="161" t="s">
        <v>118</v>
      </c>
      <c r="D227" s="57"/>
      <c r="E227" s="57"/>
      <c r="F227" s="57"/>
      <c r="G227" s="157" t="s">
        <v>444</v>
      </c>
      <c r="H227" s="57">
        <v>605000</v>
      </c>
      <c r="I227" s="57" t="s">
        <v>445</v>
      </c>
      <c r="J227" s="57" t="s">
        <v>441</v>
      </c>
      <c r="K227" s="57">
        <f>H227*0.12</f>
        <v>72600</v>
      </c>
      <c r="L227" s="79" t="s">
        <v>437</v>
      </c>
    </row>
    <row r="228" spans="1:12" ht="14.5" thickBot="1" x14ac:dyDescent="0.35">
      <c r="A228" s="134"/>
      <c r="B228" s="40"/>
      <c r="C228" s="164"/>
      <c r="D228" s="40"/>
      <c r="E228" s="40"/>
      <c r="F228" s="40"/>
    </row>
    <row r="229" spans="1:12" x14ac:dyDescent="0.3">
      <c r="A229" s="134" t="s">
        <v>122</v>
      </c>
      <c r="B229" s="40">
        <v>0.1</v>
      </c>
      <c r="C229" s="164" t="s">
        <v>12</v>
      </c>
      <c r="D229" s="40" t="s">
        <v>123</v>
      </c>
      <c r="E229" s="40"/>
      <c r="F229" s="40"/>
      <c r="G229" s="231" t="s">
        <v>422</v>
      </c>
      <c r="H229" s="229"/>
      <c r="I229" s="230"/>
    </row>
    <row r="230" spans="1:12" x14ac:dyDescent="0.3">
      <c r="A230" s="134" t="s">
        <v>124</v>
      </c>
      <c r="B230" s="41">
        <f>2*PI()*B219/B229</f>
        <v>186.38635433297841</v>
      </c>
      <c r="C230" s="164"/>
      <c r="D230" s="40"/>
      <c r="E230" s="40"/>
      <c r="F230" s="40"/>
      <c r="G230" s="134" t="s">
        <v>448</v>
      </c>
      <c r="H230">
        <f>K225*B225</f>
        <v>2463.4502241362279</v>
      </c>
      <c r="I230" s="226" t="s">
        <v>386</v>
      </c>
    </row>
    <row r="231" spans="1:12" x14ac:dyDescent="0.3">
      <c r="A231" s="134" t="s">
        <v>125</v>
      </c>
      <c r="B231" s="41">
        <f>B230/2</f>
        <v>93.193177166489207</v>
      </c>
      <c r="C231" s="164"/>
      <c r="D231" s="40"/>
      <c r="E231" s="40"/>
      <c r="F231" s="40"/>
      <c r="G231" s="134" t="s">
        <v>449</v>
      </c>
      <c r="H231">
        <f t="shared" ref="H231:H232" si="1">K226*B226</f>
        <v>43486.931532944742</v>
      </c>
      <c r="I231" s="226" t="s">
        <v>386</v>
      </c>
    </row>
    <row r="232" spans="1:12" x14ac:dyDescent="0.3">
      <c r="A232" s="134"/>
      <c r="B232" s="41"/>
      <c r="C232" s="164"/>
      <c r="D232" s="40"/>
      <c r="E232" s="40"/>
      <c r="F232" s="40"/>
      <c r="G232" s="134" t="s">
        <v>450</v>
      </c>
      <c r="H232">
        <f t="shared" si="1"/>
        <v>181010.08922109756</v>
      </c>
      <c r="I232" s="226" t="s">
        <v>386</v>
      </c>
    </row>
    <row r="233" spans="1:12" ht="28.5" thickBot="1" x14ac:dyDescent="0.35">
      <c r="A233" s="134" t="s">
        <v>126</v>
      </c>
      <c r="B233" s="41">
        <f>ROUND(B231,0)</f>
        <v>93</v>
      </c>
      <c r="C233" s="164"/>
      <c r="D233" s="317" t="s">
        <v>127</v>
      </c>
      <c r="E233" s="40"/>
      <c r="F233" s="40"/>
      <c r="G233" s="135" t="s">
        <v>447</v>
      </c>
      <c r="H233" s="227">
        <f>SUM(H230:H232)</f>
        <v>226960.47097817852</v>
      </c>
      <c r="I233" s="228" t="s">
        <v>386</v>
      </c>
    </row>
    <row r="234" spans="1:12" x14ac:dyDescent="0.3">
      <c r="A234" s="134" t="s">
        <v>128</v>
      </c>
      <c r="B234" s="40">
        <f>2*B233</f>
        <v>186</v>
      </c>
      <c r="C234" s="164"/>
      <c r="D234" s="40"/>
      <c r="E234" s="40"/>
      <c r="F234" s="40"/>
      <c r="G234" s="40"/>
    </row>
    <row r="235" spans="1:12" x14ac:dyDescent="0.3">
      <c r="A235" s="134" t="s">
        <v>129</v>
      </c>
      <c r="B235" s="37">
        <f>2*PI()*B219/B234</f>
        <v>0.10020771738332174</v>
      </c>
      <c r="C235" s="164" t="s">
        <v>12</v>
      </c>
      <c r="D235" s="40"/>
      <c r="E235" s="40"/>
      <c r="F235" s="40"/>
      <c r="G235" s="40"/>
    </row>
    <row r="236" spans="1:12" x14ac:dyDescent="0.3">
      <c r="A236" s="134"/>
      <c r="B236" s="40"/>
      <c r="C236" s="164"/>
      <c r="D236" s="40"/>
      <c r="E236" s="40"/>
      <c r="F236" s="40"/>
      <c r="G236" s="40"/>
    </row>
    <row r="237" spans="1:12" x14ac:dyDescent="0.3">
      <c r="A237" s="134" t="s">
        <v>130</v>
      </c>
      <c r="B237" s="167">
        <f>'3MW-DDPMG'!B53*'Generator design'!B19</f>
        <v>36802.494631872702</v>
      </c>
      <c r="C237" s="164" t="s">
        <v>158</v>
      </c>
      <c r="D237" s="40" t="s">
        <v>131</v>
      </c>
      <c r="E237" s="40"/>
      <c r="F237" s="40"/>
      <c r="G237" s="40"/>
    </row>
    <row r="238" spans="1:12" x14ac:dyDescent="0.3">
      <c r="A238" s="134" t="s">
        <v>132</v>
      </c>
      <c r="B238" s="148">
        <f>B222*'3MW-DDPMG'!B52</f>
        <v>21999.28162628799</v>
      </c>
      <c r="C238" s="164" t="s">
        <v>158</v>
      </c>
      <c r="D238" s="40"/>
      <c r="E238" s="40"/>
      <c r="F238" s="40"/>
      <c r="G238" s="40"/>
    </row>
    <row r="239" spans="1:12" ht="14.5" thickBot="1" x14ac:dyDescent="0.35">
      <c r="A239" s="135" t="s">
        <v>133</v>
      </c>
      <c r="B239" s="168">
        <f>B237+B238</f>
        <v>58801.776258160695</v>
      </c>
      <c r="C239" s="161" t="s">
        <v>158</v>
      </c>
      <c r="D239" s="40"/>
      <c r="E239" s="40"/>
      <c r="F239" s="40"/>
      <c r="G239" s="40"/>
    </row>
    <row r="240" spans="1:12" x14ac:dyDescent="0.3">
      <c r="A240" s="40"/>
      <c r="B240" s="40"/>
      <c r="C240" s="40"/>
      <c r="D240" s="40"/>
      <c r="E240" s="40"/>
      <c r="F240" s="40"/>
      <c r="G240" s="40"/>
    </row>
    <row r="241" spans="1:7" x14ac:dyDescent="0.3">
      <c r="A241" s="40"/>
      <c r="B241" s="40"/>
      <c r="C241" s="40"/>
      <c r="D241" s="40"/>
      <c r="E241" s="40"/>
      <c r="F241" s="40"/>
      <c r="G241" s="40"/>
    </row>
    <row r="242" spans="1:7" ht="18.5" thickBot="1" x14ac:dyDescent="0.45">
      <c r="A242" s="282" t="s">
        <v>527</v>
      </c>
      <c r="B242" s="40"/>
      <c r="C242" s="40"/>
      <c r="D242" s="40"/>
      <c r="E242" s="40"/>
      <c r="F242" s="40"/>
      <c r="G242" s="40"/>
    </row>
    <row r="243" spans="1:7" x14ac:dyDescent="0.3">
      <c r="A243" s="155" t="s">
        <v>95</v>
      </c>
      <c r="B243" s="156" t="s">
        <v>96</v>
      </c>
      <c r="C243" s="40"/>
      <c r="D243" s="40"/>
      <c r="E243" s="40"/>
      <c r="F243" s="40"/>
      <c r="G243" s="40"/>
    </row>
    <row r="244" spans="1:7" ht="14.5" thickBot="1" x14ac:dyDescent="0.35">
      <c r="A244" s="157" t="s">
        <v>72</v>
      </c>
      <c r="B244" s="158" t="s">
        <v>97</v>
      </c>
    </row>
    <row r="245" spans="1:7" x14ac:dyDescent="0.3">
      <c r="A245" s="345">
        <v>1</v>
      </c>
      <c r="B245" s="77">
        <v>8.8652300000000004</v>
      </c>
    </row>
    <row r="246" spans="1:7" x14ac:dyDescent="0.3">
      <c r="A246" s="345">
        <v>2</v>
      </c>
      <c r="B246" s="77">
        <v>30.680499999999999</v>
      </c>
    </row>
    <row r="247" spans="1:7" x14ac:dyDescent="0.3">
      <c r="A247" s="345">
        <v>3</v>
      </c>
      <c r="B247" s="77">
        <v>63.340899999999998</v>
      </c>
    </row>
    <row r="248" spans="1:7" x14ac:dyDescent="0.3">
      <c r="A248" s="345">
        <v>4</v>
      </c>
      <c r="B248" s="77">
        <v>96.855699999999999</v>
      </c>
    </row>
    <row r="249" spans="1:7" x14ac:dyDescent="0.3">
      <c r="A249" s="345">
        <v>5</v>
      </c>
      <c r="B249" s="77">
        <v>142.08099999999999</v>
      </c>
    </row>
    <row r="250" spans="1:7" x14ac:dyDescent="0.3">
      <c r="A250" s="345">
        <v>6</v>
      </c>
      <c r="B250" s="77">
        <v>189.70099999999999</v>
      </c>
    </row>
    <row r="251" spans="1:7" x14ac:dyDescent="0.3">
      <c r="A251" s="345">
        <v>7</v>
      </c>
      <c r="B251" s="77">
        <v>244.37200000000001</v>
      </c>
    </row>
    <row r="252" spans="1:7" x14ac:dyDescent="0.3">
      <c r="A252" s="345">
        <v>8</v>
      </c>
      <c r="B252" s="77">
        <v>303.745</v>
      </c>
    </row>
    <row r="253" spans="1:7" x14ac:dyDescent="0.3">
      <c r="A253" s="345">
        <v>9</v>
      </c>
      <c r="B253" s="77">
        <v>381.82799999999997</v>
      </c>
    </row>
    <row r="254" spans="1:7" x14ac:dyDescent="0.3">
      <c r="A254" s="345">
        <v>10</v>
      </c>
      <c r="B254" s="77">
        <v>469.66300000000001</v>
      </c>
    </row>
    <row r="255" spans="1:7" x14ac:dyDescent="0.3">
      <c r="A255" s="345">
        <v>11</v>
      </c>
      <c r="B255" s="77">
        <v>552.39099999999996</v>
      </c>
    </row>
    <row r="256" spans="1:7" x14ac:dyDescent="0.3">
      <c r="A256" s="345">
        <v>11.78</v>
      </c>
      <c r="B256" s="77">
        <v>606.70699999999999</v>
      </c>
    </row>
    <row r="257" spans="1:11" x14ac:dyDescent="0.3">
      <c r="A257" s="345">
        <v>12</v>
      </c>
      <c r="B257" s="77">
        <v>551.54700000000003</v>
      </c>
    </row>
    <row r="258" spans="1:11" x14ac:dyDescent="0.3">
      <c r="A258" s="345">
        <v>13</v>
      </c>
      <c r="B258" s="77">
        <v>473.57100000000003</v>
      </c>
    </row>
    <row r="259" spans="1:11" x14ac:dyDescent="0.3">
      <c r="A259" s="345">
        <v>14</v>
      </c>
      <c r="B259" s="77">
        <v>417.46600000000001</v>
      </c>
    </row>
    <row r="260" spans="1:11" x14ac:dyDescent="0.3">
      <c r="A260" s="345">
        <v>15</v>
      </c>
      <c r="B260" s="77">
        <v>384.82900000000001</v>
      </c>
    </row>
    <row r="261" spans="1:11" x14ac:dyDescent="0.3">
      <c r="A261" s="345">
        <v>16</v>
      </c>
      <c r="B261" s="77">
        <v>359.69499999999999</v>
      </c>
    </row>
    <row r="262" spans="1:11" x14ac:dyDescent="0.3">
      <c r="A262" s="345">
        <v>17</v>
      </c>
      <c r="B262" s="77">
        <v>321.30099999999999</v>
      </c>
    </row>
    <row r="263" spans="1:11" x14ac:dyDescent="0.3">
      <c r="A263" s="345">
        <v>18</v>
      </c>
      <c r="B263" s="77">
        <v>291.82900000000001</v>
      </c>
    </row>
    <row r="264" spans="1:11" x14ac:dyDescent="0.3">
      <c r="A264" s="345">
        <v>19</v>
      </c>
      <c r="B264" s="77">
        <v>287.38</v>
      </c>
    </row>
    <row r="265" spans="1:11" x14ac:dyDescent="0.3">
      <c r="A265" s="345">
        <v>20</v>
      </c>
      <c r="B265" s="77">
        <v>279.64699999999999</v>
      </c>
    </row>
    <row r="266" spans="1:11" x14ac:dyDescent="0.3">
      <c r="A266" s="345">
        <v>21</v>
      </c>
      <c r="B266" s="77">
        <v>272.642</v>
      </c>
    </row>
    <row r="267" spans="1:11" x14ac:dyDescent="0.3">
      <c r="A267" s="345">
        <v>22</v>
      </c>
      <c r="B267" s="77">
        <v>265.36599999999999</v>
      </c>
    </row>
    <row r="268" spans="1:11" x14ac:dyDescent="0.3">
      <c r="A268" s="345">
        <v>23</v>
      </c>
      <c r="B268" s="77">
        <v>255.839</v>
      </c>
    </row>
    <row r="269" spans="1:11" x14ac:dyDescent="0.3">
      <c r="A269" s="345">
        <v>24</v>
      </c>
      <c r="B269" s="77">
        <v>237.172</v>
      </c>
    </row>
    <row r="270" spans="1:11" ht="14.5" thickBot="1" x14ac:dyDescent="0.35">
      <c r="A270" s="346">
        <v>25</v>
      </c>
      <c r="B270" s="79">
        <v>229.83699999999999</v>
      </c>
    </row>
    <row r="271" spans="1:11" ht="14.5" thickBot="1" x14ac:dyDescent="0.35"/>
    <row r="272" spans="1:11" x14ac:dyDescent="0.3">
      <c r="A272" s="231" t="s">
        <v>175</v>
      </c>
      <c r="B272" s="162">
        <v>84.61</v>
      </c>
      <c r="C272" s="163" t="s">
        <v>165</v>
      </c>
      <c r="D272" s="147"/>
      <c r="E272" s="40"/>
      <c r="F272" s="40"/>
      <c r="G272" s="40"/>
      <c r="H272" s="40"/>
      <c r="I272" s="40"/>
      <c r="J272" s="40"/>
      <c r="K272" s="40"/>
    </row>
    <row r="273" spans="1:11" x14ac:dyDescent="0.3">
      <c r="A273" s="134" t="s">
        <v>176</v>
      </c>
      <c r="B273" s="40">
        <v>177.715</v>
      </c>
      <c r="C273" s="164" t="s">
        <v>165</v>
      </c>
      <c r="D273" s="147"/>
      <c r="E273" s="40"/>
      <c r="F273" s="40"/>
      <c r="G273" s="40"/>
      <c r="H273" s="40"/>
      <c r="I273" s="40"/>
      <c r="J273" s="40"/>
      <c r="K273" s="40"/>
    </row>
    <row r="274" spans="1:11" x14ac:dyDescent="0.3">
      <c r="A274" s="134" t="s">
        <v>177</v>
      </c>
      <c r="B274" s="40">
        <v>257.93700000000001</v>
      </c>
      <c r="C274" s="164" t="s">
        <v>165</v>
      </c>
      <c r="D274" s="147"/>
      <c r="E274" s="40"/>
      <c r="F274" s="40"/>
      <c r="G274" s="40"/>
      <c r="H274" s="40"/>
      <c r="I274" s="40"/>
      <c r="J274" s="40"/>
      <c r="K274" s="40"/>
    </row>
    <row r="275" spans="1:11" x14ac:dyDescent="0.3">
      <c r="A275" s="134" t="s">
        <v>174</v>
      </c>
      <c r="B275" s="165">
        <f>SUM(B272:B274)</f>
        <v>520.26199999999994</v>
      </c>
      <c r="C275" s="164" t="s">
        <v>165</v>
      </c>
      <c r="D275" s="147" t="s">
        <v>189</v>
      </c>
      <c r="F275" s="40">
        <f>B275*1000*B286</f>
        <v>5103770.22</v>
      </c>
      <c r="G275" s="147" t="s">
        <v>190</v>
      </c>
      <c r="H275" s="40"/>
      <c r="I275" s="40"/>
      <c r="J275" s="40"/>
      <c r="K275" s="40"/>
    </row>
    <row r="276" spans="1:11" x14ac:dyDescent="0.3">
      <c r="A276" s="134" t="s">
        <v>167</v>
      </c>
      <c r="B276" s="40">
        <v>1.5</v>
      </c>
      <c r="C276" s="164" t="s">
        <v>12</v>
      </c>
      <c r="D276" s="147"/>
      <c r="E276" s="40"/>
      <c r="F276" s="256"/>
      <c r="G276" s="256"/>
      <c r="H276" s="256"/>
      <c r="I276" s="40"/>
      <c r="J276" s="40"/>
      <c r="K276" s="40"/>
    </row>
    <row r="277" spans="1:11" x14ac:dyDescent="0.3">
      <c r="A277" s="134" t="s">
        <v>168</v>
      </c>
      <c r="B277" s="40">
        <v>1.8</v>
      </c>
      <c r="C277" s="164" t="s">
        <v>12</v>
      </c>
      <c r="D277" s="147"/>
    </row>
    <row r="278" spans="1:11" x14ac:dyDescent="0.3">
      <c r="A278" s="134" t="s">
        <v>166</v>
      </c>
      <c r="B278" s="40">
        <v>79.251999999999995</v>
      </c>
      <c r="C278" s="164" t="s">
        <v>12</v>
      </c>
      <c r="D278" s="147"/>
    </row>
    <row r="279" spans="1:11" x14ac:dyDescent="0.3">
      <c r="A279" s="134" t="s">
        <v>173</v>
      </c>
      <c r="B279" s="40">
        <v>2500</v>
      </c>
      <c r="C279" s="164" t="s">
        <v>169</v>
      </c>
      <c r="D279" s="147"/>
    </row>
    <row r="280" spans="1:11" x14ac:dyDescent="0.3">
      <c r="A280" s="133" t="s">
        <v>170</v>
      </c>
      <c r="B280" s="40">
        <v>2200</v>
      </c>
      <c r="C280" s="164" t="s">
        <v>169</v>
      </c>
      <c r="D280" s="147"/>
    </row>
    <row r="281" spans="1:11" x14ac:dyDescent="0.3">
      <c r="A281" s="134" t="s">
        <v>171</v>
      </c>
      <c r="B281" s="40">
        <f>B256</f>
        <v>606.70699999999999</v>
      </c>
      <c r="C281" s="164" t="s">
        <v>172</v>
      </c>
      <c r="D281" s="147"/>
      <c r="E281" s="40"/>
      <c r="F281" s="40"/>
      <c r="G281" s="40"/>
      <c r="H281" s="40"/>
      <c r="I281" s="40"/>
      <c r="J281" s="40"/>
      <c r="K281" s="40"/>
    </row>
    <row r="282" spans="1:11" x14ac:dyDescent="0.3">
      <c r="A282" s="134" t="s">
        <v>178</v>
      </c>
      <c r="B282" s="40">
        <f>B281*(B278+B277+B276)</f>
        <v>50084.876263999991</v>
      </c>
      <c r="C282" s="164" t="s">
        <v>180</v>
      </c>
      <c r="D282" s="147" t="s">
        <v>179</v>
      </c>
      <c r="E282" s="40"/>
      <c r="F282" s="40"/>
      <c r="G282" s="40"/>
      <c r="H282" s="40"/>
      <c r="I282" s="40"/>
      <c r="J282" s="40"/>
      <c r="K282" s="40"/>
    </row>
    <row r="283" spans="1:11" ht="28" x14ac:dyDescent="0.3">
      <c r="A283" s="133" t="s">
        <v>181</v>
      </c>
      <c r="B283" s="40">
        <f>B276*B279</f>
        <v>3750</v>
      </c>
      <c r="C283" s="164" t="s">
        <v>187</v>
      </c>
      <c r="D283" s="147"/>
      <c r="E283" s="40"/>
      <c r="F283" s="40"/>
      <c r="G283" s="40"/>
      <c r="H283" s="40"/>
      <c r="I283" s="40"/>
      <c r="J283" s="40"/>
      <c r="K283" s="40"/>
    </row>
    <row r="284" spans="1:11" x14ac:dyDescent="0.3">
      <c r="A284" s="134" t="s">
        <v>182</v>
      </c>
      <c r="B284" s="40">
        <f>B277*B280</f>
        <v>3960</v>
      </c>
      <c r="C284" s="164" t="s">
        <v>187</v>
      </c>
      <c r="D284" s="147"/>
      <c r="E284" s="40"/>
      <c r="F284" s="40"/>
      <c r="G284" s="40"/>
      <c r="H284" s="40"/>
      <c r="I284" s="40"/>
      <c r="J284" s="40"/>
      <c r="K284" s="40"/>
    </row>
    <row r="285" spans="1:11" x14ac:dyDescent="0.3">
      <c r="A285" s="134" t="s">
        <v>183</v>
      </c>
      <c r="B285" s="40">
        <f>B283+B284</f>
        <v>7710</v>
      </c>
      <c r="C285" s="164" t="s">
        <v>187</v>
      </c>
      <c r="D285" s="147"/>
      <c r="E285" s="40"/>
      <c r="F285" s="40"/>
      <c r="G285" s="40"/>
      <c r="H285" s="40"/>
      <c r="I285" s="40"/>
      <c r="J285" s="40"/>
      <c r="K285" s="40"/>
    </row>
    <row r="286" spans="1:11" x14ac:dyDescent="0.3">
      <c r="A286" s="134" t="s">
        <v>185</v>
      </c>
      <c r="B286" s="40">
        <v>9.81</v>
      </c>
      <c r="C286" s="164" t="s">
        <v>186</v>
      </c>
      <c r="D286" s="147"/>
      <c r="E286" s="40"/>
      <c r="F286" s="40"/>
      <c r="G286" s="40"/>
      <c r="H286" s="40"/>
      <c r="I286" s="40"/>
      <c r="J286" s="40"/>
      <c r="K286" s="40"/>
    </row>
    <row r="287" spans="1:11" ht="14.5" thickBot="1" x14ac:dyDescent="0.35">
      <c r="A287" s="134" t="s">
        <v>184</v>
      </c>
      <c r="B287" s="40">
        <f>B285*B286</f>
        <v>75635.100000000006</v>
      </c>
      <c r="C287" s="164" t="s">
        <v>188</v>
      </c>
      <c r="D287" s="147"/>
      <c r="E287" s="40"/>
    </row>
    <row r="288" spans="1:11" x14ac:dyDescent="0.3">
      <c r="A288" s="134" t="s">
        <v>191</v>
      </c>
      <c r="B288" s="42">
        <f>B287/2</f>
        <v>37817.550000000003</v>
      </c>
      <c r="C288" s="164" t="s">
        <v>195</v>
      </c>
      <c r="D288" s="147" t="s">
        <v>194</v>
      </c>
      <c r="E288" s="231" t="s">
        <v>198</v>
      </c>
      <c r="F288" s="109">
        <f>B287/2</f>
        <v>37817.550000000003</v>
      </c>
      <c r="G288" s="160" t="s">
        <v>376</v>
      </c>
      <c r="H288" s="109">
        <f>F275/2</f>
        <v>2551885.11</v>
      </c>
      <c r="I288" s="160" t="s">
        <v>199</v>
      </c>
      <c r="J288" s="163" t="s">
        <v>200</v>
      </c>
      <c r="K288" s="40"/>
    </row>
    <row r="289" spans="1:12" ht="14.5" thickBot="1" x14ac:dyDescent="0.35">
      <c r="A289" s="135" t="s">
        <v>196</v>
      </c>
      <c r="B289" s="57">
        <f>((3*B282*1000)/B288)^(1/3)</f>
        <v>15.838406678780283</v>
      </c>
      <c r="C289" s="161" t="s">
        <v>197</v>
      </c>
      <c r="D289" s="147" t="s">
        <v>377</v>
      </c>
      <c r="E289" s="135" t="s">
        <v>196</v>
      </c>
      <c r="F289" s="57">
        <v>14.422397303058062</v>
      </c>
      <c r="G289" s="57"/>
      <c r="H289" s="57"/>
      <c r="I289" s="57"/>
      <c r="J289" s="161" t="s">
        <v>197</v>
      </c>
      <c r="K289" s="147" t="s">
        <v>378</v>
      </c>
    </row>
    <row r="290" spans="1:12" ht="14.5" thickBot="1" x14ac:dyDescent="0.35"/>
    <row r="291" spans="1:12" x14ac:dyDescent="0.3">
      <c r="A291" s="155" t="s">
        <v>451</v>
      </c>
      <c r="B291" s="109"/>
      <c r="C291" s="110"/>
      <c r="D291" s="40"/>
    </row>
    <row r="292" spans="1:12" x14ac:dyDescent="0.3">
      <c r="A292" s="143" t="s">
        <v>452</v>
      </c>
      <c r="B292" s="40">
        <f>(F289/2)^2*PI()*B276</f>
        <v>245.05075831255562</v>
      </c>
      <c r="C292" s="77" t="s">
        <v>453</v>
      </c>
      <c r="D292" s="40"/>
    </row>
    <row r="293" spans="1:12" x14ac:dyDescent="0.3">
      <c r="A293" s="143" t="s">
        <v>459</v>
      </c>
      <c r="B293" s="40">
        <v>40</v>
      </c>
      <c r="C293" s="77" t="s">
        <v>165</v>
      </c>
      <c r="D293" s="40" t="s">
        <v>528</v>
      </c>
    </row>
    <row r="294" spans="1:12" x14ac:dyDescent="0.3">
      <c r="A294" s="143" t="s">
        <v>454</v>
      </c>
      <c r="B294" s="40"/>
      <c r="C294" s="77"/>
      <c r="D294" s="40"/>
    </row>
    <row r="295" spans="1:12" ht="14.5" thickBot="1" x14ac:dyDescent="0.35">
      <c r="A295" s="143" t="s">
        <v>460</v>
      </c>
      <c r="B295" s="40">
        <v>115</v>
      </c>
      <c r="C295" s="77" t="s">
        <v>461</v>
      </c>
      <c r="D295" s="251" t="s">
        <v>455</v>
      </c>
    </row>
    <row r="296" spans="1:12" ht="14.5" thickBot="1" x14ac:dyDescent="0.35">
      <c r="A296" s="143" t="s">
        <v>456</v>
      </c>
      <c r="B296" s="40">
        <f>G297</f>
        <v>461.76</v>
      </c>
      <c r="C296" s="77" t="s">
        <v>462</v>
      </c>
      <c r="D296" s="274" t="s">
        <v>529</v>
      </c>
      <c r="E296" s="275"/>
      <c r="F296" s="124" t="s">
        <v>465</v>
      </c>
      <c r="G296" s="276" t="s">
        <v>443</v>
      </c>
      <c r="H296" s="277"/>
      <c r="I296" s="40"/>
      <c r="J296" s="224" t="s">
        <v>464</v>
      </c>
      <c r="K296" s="40"/>
      <c r="L296" s="40"/>
    </row>
    <row r="297" spans="1:12" ht="14.5" thickBot="1" x14ac:dyDescent="0.35">
      <c r="A297" s="143" t="s">
        <v>457</v>
      </c>
      <c r="B297" s="40">
        <f>B295*B292</f>
        <v>28180.837205943895</v>
      </c>
      <c r="C297" s="77" t="s">
        <v>192</v>
      </c>
      <c r="D297" s="78">
        <v>3848</v>
      </c>
      <c r="E297" s="79" t="s">
        <v>466</v>
      </c>
      <c r="F297" s="307" t="s">
        <v>441</v>
      </c>
      <c r="G297" s="78">
        <f>D297*0.12</f>
        <v>461.76</v>
      </c>
      <c r="H297" s="79" t="s">
        <v>462</v>
      </c>
      <c r="I297" s="238" t="s">
        <v>435</v>
      </c>
      <c r="J297" s="40"/>
      <c r="K297" s="40"/>
      <c r="L297" s="40"/>
    </row>
    <row r="298" spans="1:12" x14ac:dyDescent="0.3">
      <c r="A298" s="143" t="s">
        <v>456</v>
      </c>
      <c r="B298" s="40">
        <f>B293*B296</f>
        <v>18470.400000000001</v>
      </c>
      <c r="C298" s="77" t="s">
        <v>192</v>
      </c>
      <c r="D298" s="40"/>
      <c r="I298" s="40"/>
      <c r="J298" s="40"/>
      <c r="K298" s="40"/>
      <c r="L298" s="40"/>
    </row>
    <row r="299" spans="1:12" ht="14.5" thickBot="1" x14ac:dyDescent="0.35">
      <c r="A299" s="157" t="s">
        <v>458</v>
      </c>
      <c r="B299" s="57">
        <f>SUM(B297:B298)</f>
        <v>46651.237205943893</v>
      </c>
      <c r="C299" s="79" t="s">
        <v>192</v>
      </c>
      <c r="D299" s="40"/>
      <c r="I299" s="40"/>
      <c r="J299" s="40"/>
      <c r="K299" s="40"/>
      <c r="L299" s="40"/>
    </row>
    <row r="302" spans="1:12" ht="18.5" thickBot="1" x14ac:dyDescent="0.45">
      <c r="A302" s="283" t="s">
        <v>531</v>
      </c>
    </row>
    <row r="303" spans="1:12" ht="28.5" thickBot="1" x14ac:dyDescent="0.35">
      <c r="A303" s="319" t="s">
        <v>209</v>
      </c>
      <c r="B303" s="320" t="s">
        <v>210</v>
      </c>
      <c r="C303" s="320" t="s">
        <v>211</v>
      </c>
      <c r="D303" s="320" t="s">
        <v>532</v>
      </c>
      <c r="E303" s="320" t="s">
        <v>533</v>
      </c>
      <c r="F303" s="321" t="s">
        <v>534</v>
      </c>
    </row>
    <row r="304" spans="1:12" x14ac:dyDescent="0.3">
      <c r="A304" s="285">
        <v>0</v>
      </c>
      <c r="B304" s="286">
        <v>0.5</v>
      </c>
      <c r="C304" s="286">
        <v>49.270116042165299</v>
      </c>
      <c r="D304" s="286">
        <v>0</v>
      </c>
      <c r="E304" s="286">
        <v>0</v>
      </c>
      <c r="F304" s="226">
        <v>0</v>
      </c>
    </row>
    <row r="305" spans="1:6" x14ac:dyDescent="0.3">
      <c r="A305" s="285">
        <v>0.5</v>
      </c>
      <c r="B305" s="286">
        <v>1.5</v>
      </c>
      <c r="C305" s="286">
        <v>384.31454513614852</v>
      </c>
      <c r="D305" s="286">
        <v>1</v>
      </c>
      <c r="E305" s="286">
        <v>0</v>
      </c>
      <c r="F305" s="226">
        <v>0</v>
      </c>
    </row>
    <row r="306" spans="1:6" x14ac:dyDescent="0.3">
      <c r="A306" s="285">
        <v>1.5</v>
      </c>
      <c r="B306" s="286">
        <v>2.5</v>
      </c>
      <c r="C306" s="286">
        <v>718.50968100449222</v>
      </c>
      <c r="D306" s="286">
        <v>2</v>
      </c>
      <c r="E306" s="286">
        <v>0</v>
      </c>
      <c r="F306" s="226">
        <v>0</v>
      </c>
    </row>
    <row r="307" spans="1:6" x14ac:dyDescent="0.3">
      <c r="A307" s="285">
        <v>2.5</v>
      </c>
      <c r="B307" s="286">
        <v>3.5</v>
      </c>
      <c r="C307" s="286">
        <v>963.20087769970701</v>
      </c>
      <c r="D307" s="286">
        <v>3</v>
      </c>
      <c r="E307" s="286">
        <v>41.3979</v>
      </c>
      <c r="F307" s="226">
        <v>39874.493614924701</v>
      </c>
    </row>
    <row r="308" spans="1:6" x14ac:dyDescent="0.3">
      <c r="A308" s="285">
        <v>3.5</v>
      </c>
      <c r="B308" s="286">
        <v>4.5</v>
      </c>
      <c r="C308" s="286">
        <v>1097.3008988234203</v>
      </c>
      <c r="D308" s="286">
        <v>4</v>
      </c>
      <c r="E308" s="286">
        <v>170.09899999999999</v>
      </c>
      <c r="F308" s="226">
        <v>186649.78558896497</v>
      </c>
    </row>
    <row r="309" spans="1:6" x14ac:dyDescent="0.3">
      <c r="A309" s="285">
        <v>4.5</v>
      </c>
      <c r="B309" s="286">
        <v>5.5</v>
      </c>
      <c r="C309" s="286">
        <v>1120.4254533246835</v>
      </c>
      <c r="D309" s="286">
        <v>5</v>
      </c>
      <c r="E309" s="286">
        <v>343.608</v>
      </c>
      <c r="F309" s="226">
        <v>384987.14916598785</v>
      </c>
    </row>
    <row r="310" spans="1:6" x14ac:dyDescent="0.3">
      <c r="A310" s="285">
        <v>5.5</v>
      </c>
      <c r="B310" s="286">
        <v>6.5</v>
      </c>
      <c r="C310" s="286">
        <v>1049.9979551872757</v>
      </c>
      <c r="D310" s="286">
        <v>6</v>
      </c>
      <c r="E310" s="286">
        <v>641.89400000000001</v>
      </c>
      <c r="F310" s="226">
        <v>673987.38744698116</v>
      </c>
    </row>
    <row r="311" spans="1:6" x14ac:dyDescent="0.3">
      <c r="A311" s="285">
        <v>6.5</v>
      </c>
      <c r="B311" s="286">
        <v>7.5</v>
      </c>
      <c r="C311" s="286">
        <v>914.61100812964719</v>
      </c>
      <c r="D311" s="286">
        <v>7</v>
      </c>
      <c r="E311" s="286">
        <v>1034.53</v>
      </c>
      <c r="F311" s="226">
        <v>946192.52624036383</v>
      </c>
    </row>
    <row r="312" spans="1:6" x14ac:dyDescent="0.3">
      <c r="A312" s="285">
        <v>7.5</v>
      </c>
      <c r="B312" s="286">
        <v>8.5</v>
      </c>
      <c r="C312" s="286">
        <v>746.11607327906268</v>
      </c>
      <c r="D312" s="286">
        <v>8</v>
      </c>
      <c r="E312" s="286">
        <v>1556.85</v>
      </c>
      <c r="F312" s="226">
        <v>1161590.8086845085</v>
      </c>
    </row>
    <row r="313" spans="1:6" x14ac:dyDescent="0.3">
      <c r="A313" s="285">
        <v>8.5</v>
      </c>
      <c r="B313" s="286">
        <v>9.5</v>
      </c>
      <c r="C313" s="286">
        <v>572.81406758676769</v>
      </c>
      <c r="D313" s="286">
        <v>9</v>
      </c>
      <c r="E313" s="286">
        <v>2209.27</v>
      </c>
      <c r="F313" s="226">
        <v>1265500.9350974183</v>
      </c>
    </row>
    <row r="314" spans="1:6" x14ac:dyDescent="0.3">
      <c r="A314" s="285">
        <v>9.5</v>
      </c>
      <c r="B314" s="286">
        <v>10.5</v>
      </c>
      <c r="C314" s="286">
        <v>415.24319931719151</v>
      </c>
      <c r="D314" s="286">
        <v>10</v>
      </c>
      <c r="E314" s="286">
        <v>3029.67</v>
      </c>
      <c r="F314" s="226">
        <v>1258049.8636753156</v>
      </c>
    </row>
    <row r="315" spans="1:6" x14ac:dyDescent="0.3">
      <c r="A315" s="285">
        <v>10.5</v>
      </c>
      <c r="B315" s="286">
        <v>11.5</v>
      </c>
      <c r="C315" s="286">
        <v>284.90694897222244</v>
      </c>
      <c r="D315" s="286">
        <v>11</v>
      </c>
      <c r="E315" s="286">
        <v>4039.22</v>
      </c>
      <c r="F315" s="226">
        <v>1150801.8464275803</v>
      </c>
    </row>
    <row r="316" spans="1:6" x14ac:dyDescent="0.3">
      <c r="A316" s="285">
        <v>11.5</v>
      </c>
      <c r="B316" s="286">
        <v>12.5</v>
      </c>
      <c r="C316" s="286">
        <v>185.3428095006696</v>
      </c>
      <c r="D316" s="286">
        <v>12</v>
      </c>
      <c r="E316" s="286">
        <v>4841.82</v>
      </c>
      <c r="F316" s="226">
        <v>897396.52189653204</v>
      </c>
    </row>
    <row r="317" spans="1:6" x14ac:dyDescent="0.3">
      <c r="A317" s="285">
        <v>12.5</v>
      </c>
      <c r="B317" s="286">
        <v>13.5</v>
      </c>
      <c r="C317" s="286">
        <v>114.4716991368514</v>
      </c>
      <c r="D317" s="286">
        <v>13</v>
      </c>
      <c r="E317" s="286">
        <v>4909.54</v>
      </c>
      <c r="F317" s="226">
        <v>562003.38578033738</v>
      </c>
    </row>
    <row r="318" spans="1:6" x14ac:dyDescent="0.3">
      <c r="A318" s="285">
        <v>13.5</v>
      </c>
      <c r="B318" s="286">
        <v>14.5</v>
      </c>
      <c r="C318" s="286">
        <v>67.192229664116809</v>
      </c>
      <c r="D318" s="286">
        <v>14</v>
      </c>
      <c r="E318" s="286">
        <v>4854.33</v>
      </c>
      <c r="F318" s="226">
        <v>326173.25622541213</v>
      </c>
    </row>
    <row r="319" spans="1:6" x14ac:dyDescent="0.3">
      <c r="A319" s="285">
        <v>14.5</v>
      </c>
      <c r="B319" s="286">
        <v>15.5</v>
      </c>
      <c r="C319" s="286">
        <v>37.51407812618686</v>
      </c>
      <c r="D319" s="286">
        <v>15</v>
      </c>
      <c r="E319" s="286">
        <v>4894.49</v>
      </c>
      <c r="F319" s="226">
        <v>183612.2802478403</v>
      </c>
    </row>
    <row r="320" spans="1:6" x14ac:dyDescent="0.3">
      <c r="A320" s="285">
        <v>15.5</v>
      </c>
      <c r="B320" s="286">
        <v>16.5</v>
      </c>
      <c r="C320" s="286">
        <v>19.934739127083709</v>
      </c>
      <c r="D320" s="286">
        <v>16</v>
      </c>
      <c r="E320" s="286">
        <v>4846.33</v>
      </c>
      <c r="F320" s="226">
        <v>96610.324273759587</v>
      </c>
    </row>
    <row r="321" spans="1:6" x14ac:dyDescent="0.3">
      <c r="A321" s="285">
        <v>16.5</v>
      </c>
      <c r="B321" s="286">
        <v>17.5</v>
      </c>
      <c r="C321" s="286">
        <v>10.087937395303509</v>
      </c>
      <c r="D321" s="286">
        <v>17</v>
      </c>
      <c r="E321" s="286">
        <v>4864.93</v>
      </c>
      <c r="F321" s="226">
        <v>49077.109272533904</v>
      </c>
    </row>
    <row r="322" spans="1:6" x14ac:dyDescent="0.3">
      <c r="A322" s="285">
        <v>17.5</v>
      </c>
      <c r="B322" s="286">
        <v>18.5</v>
      </c>
      <c r="C322" s="286">
        <v>4.863668164762327</v>
      </c>
      <c r="D322" s="286">
        <v>18</v>
      </c>
      <c r="E322" s="286">
        <v>4981.1499999999996</v>
      </c>
      <c r="F322" s="226">
        <v>24226.660678905864</v>
      </c>
    </row>
    <row r="323" spans="1:6" x14ac:dyDescent="0.3">
      <c r="A323" s="285">
        <v>18.5</v>
      </c>
      <c r="B323" s="286">
        <v>19.5</v>
      </c>
      <c r="C323" s="286">
        <v>2.234898727588289</v>
      </c>
      <c r="D323" s="286">
        <v>19</v>
      </c>
      <c r="E323" s="286">
        <v>4968.1400000000003</v>
      </c>
      <c r="F323" s="226">
        <v>11103.289764480483</v>
      </c>
    </row>
    <row r="324" spans="1:6" x14ac:dyDescent="0.3">
      <c r="A324" s="285">
        <v>19.5</v>
      </c>
      <c r="B324" s="286">
        <v>20.5</v>
      </c>
      <c r="C324" s="286">
        <v>0.97908779682546387</v>
      </c>
      <c r="D324" s="286">
        <v>20</v>
      </c>
      <c r="E324" s="286">
        <v>4867.9799999999996</v>
      </c>
      <c r="F324" s="226">
        <v>4766.1798131904216</v>
      </c>
    </row>
    <row r="325" spans="1:6" x14ac:dyDescent="0.3">
      <c r="A325" s="285">
        <v>20.5</v>
      </c>
      <c r="B325" s="286">
        <v>21.5</v>
      </c>
      <c r="C325" s="286">
        <v>0.40904645658915667</v>
      </c>
      <c r="D325" s="286">
        <v>21</v>
      </c>
      <c r="E325" s="286">
        <v>4898.2</v>
      </c>
      <c r="F325" s="226">
        <v>2003.5913536650071</v>
      </c>
    </row>
    <row r="326" spans="1:6" x14ac:dyDescent="0.3">
      <c r="A326" s="285">
        <v>21.5</v>
      </c>
      <c r="B326" s="286">
        <v>22.5</v>
      </c>
      <c r="C326" s="286">
        <v>0.1630090570299223</v>
      </c>
      <c r="D326" s="286">
        <v>22</v>
      </c>
      <c r="E326" s="286">
        <v>4978.8500000000004</v>
      </c>
      <c r="F326" s="226">
        <v>811.59764359342876</v>
      </c>
    </row>
    <row r="327" spans="1:6" x14ac:dyDescent="0.3">
      <c r="A327" s="285">
        <v>22.5</v>
      </c>
      <c r="B327" s="286">
        <v>23.5</v>
      </c>
      <c r="C327" s="286">
        <v>6.197639642360081E-2</v>
      </c>
      <c r="D327" s="286">
        <v>23</v>
      </c>
      <c r="E327" s="286">
        <v>4932.38</v>
      </c>
      <c r="F327" s="226">
        <v>305.6911381918402</v>
      </c>
    </row>
    <row r="328" spans="1:6" x14ac:dyDescent="0.3">
      <c r="A328" s="285">
        <v>23.5</v>
      </c>
      <c r="B328" s="286">
        <v>24.5</v>
      </c>
      <c r="C328" s="286">
        <v>2.2484982927574872E-2</v>
      </c>
      <c r="D328" s="286">
        <v>24</v>
      </c>
      <c r="E328" s="286">
        <v>4917.32</v>
      </c>
      <c r="F328" s="226">
        <v>110.56585624942247</v>
      </c>
    </row>
    <row r="329" spans="1:6" x14ac:dyDescent="0.3">
      <c r="A329" s="285">
        <v>24.5</v>
      </c>
      <c r="B329" s="286">
        <v>25.5</v>
      </c>
      <c r="C329" s="286">
        <v>7.7853339614035568E-3</v>
      </c>
      <c r="D329" s="286">
        <v>25</v>
      </c>
      <c r="E329" s="286">
        <v>4995.8599999999997</v>
      </c>
      <c r="F329" s="226">
        <v>38.894438524417573</v>
      </c>
    </row>
    <row r="330" spans="1:6" x14ac:dyDescent="0.3">
      <c r="A330" s="285">
        <v>25.5</v>
      </c>
      <c r="B330" s="286">
        <v>26.5</v>
      </c>
      <c r="C330" s="286">
        <v>2.5729968357459921E-3</v>
      </c>
      <c r="D330" s="286"/>
      <c r="E330" s="286"/>
      <c r="F330" s="226"/>
    </row>
    <row r="331" spans="1:6" x14ac:dyDescent="0.3">
      <c r="A331" s="285">
        <v>26.5</v>
      </c>
      <c r="B331" s="286">
        <v>27.5</v>
      </c>
      <c r="C331" s="286">
        <v>8.1176577572557838E-4</v>
      </c>
      <c r="D331" s="286"/>
      <c r="E331" s="286"/>
      <c r="F331" s="226"/>
    </row>
    <row r="332" spans="1:6" ht="14.5" thickBot="1" x14ac:dyDescent="0.35">
      <c r="A332" s="285">
        <v>27.5</v>
      </c>
      <c r="B332" s="286">
        <v>28.5</v>
      </c>
      <c r="C332" s="286">
        <v>2.4451084200294466E-4</v>
      </c>
      <c r="D332" s="286"/>
      <c r="E332" s="286"/>
      <c r="F332" s="226"/>
    </row>
    <row r="333" spans="1:6" x14ac:dyDescent="0.3">
      <c r="A333" s="285">
        <v>28.5</v>
      </c>
      <c r="B333" s="286">
        <v>29.5</v>
      </c>
      <c r="C333" s="286">
        <v>7.0320651547331079E-5</v>
      </c>
      <c r="D333" s="284" t="s">
        <v>535</v>
      </c>
      <c r="E333" s="229"/>
      <c r="F333" s="230">
        <v>9225874.1443252619</v>
      </c>
    </row>
    <row r="334" spans="1:6" ht="14.5" thickBot="1" x14ac:dyDescent="0.35">
      <c r="A334" s="287">
        <v>29.5</v>
      </c>
      <c r="B334" s="227">
        <v>30.5</v>
      </c>
      <c r="C334" s="227">
        <v>1.9311777393040666E-5</v>
      </c>
      <c r="D334" s="287" t="s">
        <v>536</v>
      </c>
      <c r="E334" s="227"/>
      <c r="F334" s="228">
        <v>27677622.432975784</v>
      </c>
    </row>
    <row r="337" spans="1:4" ht="18" thickBot="1" x14ac:dyDescent="0.4">
      <c r="A337" s="281" t="s">
        <v>537</v>
      </c>
    </row>
    <row r="338" spans="1:4" x14ac:dyDescent="0.3">
      <c r="A338" s="222" t="s">
        <v>70</v>
      </c>
      <c r="B338" s="109">
        <v>11.603999999999999</v>
      </c>
      <c r="C338" s="110" t="s">
        <v>72</v>
      </c>
    </row>
    <row r="339" spans="1:4" x14ac:dyDescent="0.3">
      <c r="A339" s="101" t="s">
        <v>30</v>
      </c>
      <c r="B339" s="323">
        <v>2.99</v>
      </c>
      <c r="C339" s="77" t="s">
        <v>71</v>
      </c>
      <c r="D339" s="310"/>
    </row>
    <row r="340" spans="1:4" x14ac:dyDescent="0.3">
      <c r="A340" s="101" t="s">
        <v>31</v>
      </c>
      <c r="B340" s="310">
        <f>100.45-96.925</f>
        <v>3.5250000000000057</v>
      </c>
      <c r="C340" s="77" t="s">
        <v>29</v>
      </c>
      <c r="D340" s="310"/>
    </row>
    <row r="341" spans="1:4" x14ac:dyDescent="0.3">
      <c r="A341" s="101"/>
      <c r="B341" s="310"/>
      <c r="C341" s="77"/>
      <c r="D341" s="310"/>
    </row>
    <row r="342" spans="1:4" x14ac:dyDescent="0.3">
      <c r="A342" s="101"/>
      <c r="B342" s="310"/>
      <c r="C342" s="77"/>
      <c r="D342" s="310"/>
    </row>
    <row r="343" spans="1:4" x14ac:dyDescent="0.3">
      <c r="A343" s="101" t="s">
        <v>32</v>
      </c>
      <c r="B343" s="310">
        <f>0.45*B339</f>
        <v>1.3455000000000001</v>
      </c>
      <c r="C343" s="77" t="s">
        <v>29</v>
      </c>
      <c r="D343" s="310"/>
    </row>
    <row r="344" spans="1:4" x14ac:dyDescent="0.3">
      <c r="A344" s="101"/>
      <c r="B344" s="310"/>
      <c r="C344" s="77"/>
      <c r="D344" s="310"/>
    </row>
    <row r="345" spans="1:4" x14ac:dyDescent="0.3">
      <c r="A345" s="101"/>
      <c r="B345" s="310"/>
      <c r="C345" s="77"/>
      <c r="D345" s="310"/>
    </row>
    <row r="346" spans="1:4" x14ac:dyDescent="0.3">
      <c r="A346" s="101" t="s">
        <v>33</v>
      </c>
      <c r="B346" s="324">
        <f>0.54*B339/B340</f>
        <v>0.45804255319148868</v>
      </c>
      <c r="C346" s="77"/>
      <c r="D346" s="310"/>
    </row>
    <row r="347" spans="1:4" x14ac:dyDescent="0.3">
      <c r="A347" s="101"/>
      <c r="B347" s="310"/>
      <c r="C347" s="77"/>
      <c r="D347" s="310"/>
    </row>
    <row r="348" spans="1:4" x14ac:dyDescent="0.3">
      <c r="A348" s="101"/>
      <c r="B348" s="310"/>
      <c r="C348" s="77"/>
      <c r="D348" s="310"/>
    </row>
    <row r="349" spans="1:4" x14ac:dyDescent="0.3">
      <c r="A349" s="101"/>
      <c r="B349" s="310"/>
      <c r="C349" s="77"/>
      <c r="D349" s="310"/>
    </row>
    <row r="350" spans="1:4" x14ac:dyDescent="0.3">
      <c r="A350" s="101"/>
      <c r="B350" s="310"/>
      <c r="C350" s="77"/>
      <c r="D350" s="310"/>
    </row>
    <row r="351" spans="1:4" x14ac:dyDescent="0.3">
      <c r="A351" s="101"/>
      <c r="B351" s="310"/>
      <c r="C351" s="77"/>
      <c r="D351" s="310"/>
    </row>
    <row r="352" spans="1:4" x14ac:dyDescent="0.3">
      <c r="A352" s="101"/>
      <c r="B352" s="310"/>
      <c r="C352" s="77"/>
      <c r="D352" s="310"/>
    </row>
    <row r="353" spans="1:4" ht="14.5" thickBot="1" x14ac:dyDescent="0.35">
      <c r="A353" s="102" t="s">
        <v>34</v>
      </c>
      <c r="B353" s="57">
        <v>40</v>
      </c>
      <c r="C353" s="79" t="s">
        <v>35</v>
      </c>
      <c r="D353" s="310"/>
    </row>
    <row r="356" spans="1:4" ht="17.5" x14ac:dyDescent="0.3">
      <c r="A356" s="325" t="s">
        <v>538</v>
      </c>
    </row>
    <row r="405" spans="1:6" ht="18" thickBot="1" x14ac:dyDescent="0.4">
      <c r="A405" s="281" t="s">
        <v>539</v>
      </c>
    </row>
    <row r="406" spans="1:6" x14ac:dyDescent="0.3">
      <c r="A406" s="155" t="s">
        <v>542</v>
      </c>
      <c r="B406" s="109">
        <v>4500</v>
      </c>
      <c r="C406" s="110" t="s">
        <v>364</v>
      </c>
      <c r="D406" s="40"/>
    </row>
    <row r="407" spans="1:6" ht="14.5" thickBot="1" x14ac:dyDescent="0.35">
      <c r="A407" s="157" t="s">
        <v>424</v>
      </c>
      <c r="B407" s="57">
        <v>1501</v>
      </c>
      <c r="C407" s="79" t="s">
        <v>405</v>
      </c>
      <c r="E407" s="225" t="s">
        <v>385</v>
      </c>
    </row>
    <row r="408" spans="1:6" ht="14.5" thickBot="1" x14ac:dyDescent="0.35">
      <c r="A408" s="40"/>
      <c r="B408" s="40"/>
      <c r="C408" s="40"/>
      <c r="D408" s="40"/>
      <c r="F408" s="40"/>
    </row>
    <row r="409" spans="1:6" x14ac:dyDescent="0.3">
      <c r="A409" s="231" t="s">
        <v>421</v>
      </c>
      <c r="B409" s="26" t="s">
        <v>423</v>
      </c>
      <c r="C409" s="26" t="s">
        <v>422</v>
      </c>
      <c r="D409" s="232" t="s">
        <v>422</v>
      </c>
      <c r="F409" s="40"/>
    </row>
    <row r="410" spans="1:6" ht="14.5" thickBot="1" x14ac:dyDescent="0.35">
      <c r="A410" s="134"/>
      <c r="B410" s="327" t="s">
        <v>405</v>
      </c>
      <c r="C410" s="327" t="s">
        <v>89</v>
      </c>
      <c r="D410" s="328" t="s">
        <v>192</v>
      </c>
      <c r="F410" s="40"/>
    </row>
    <row r="411" spans="1:6" x14ac:dyDescent="0.3">
      <c r="A411" s="155" t="s">
        <v>406</v>
      </c>
      <c r="B411" s="109">
        <v>1030</v>
      </c>
      <c r="C411" s="109">
        <f>$B$407*B411</f>
        <v>1546030</v>
      </c>
      <c r="D411" s="110">
        <f>C411*0.8</f>
        <v>1236824</v>
      </c>
      <c r="F411" s="40"/>
    </row>
    <row r="412" spans="1:6" x14ac:dyDescent="0.3">
      <c r="A412" s="101" t="s">
        <v>407</v>
      </c>
      <c r="B412" s="310">
        <v>313</v>
      </c>
      <c r="C412" s="310">
        <f t="shared" ref="C412:C425" si="2">$B$407*B412</f>
        <v>469813</v>
      </c>
      <c r="D412" s="77">
        <f t="shared" ref="D412:D424" si="3">C412*0.8</f>
        <v>375850.4</v>
      </c>
      <c r="F412" s="40"/>
    </row>
    <row r="413" spans="1:6" x14ac:dyDescent="0.3">
      <c r="A413" s="101" t="s">
        <v>408</v>
      </c>
      <c r="B413" s="310">
        <v>512</v>
      </c>
      <c r="C413" s="310">
        <f t="shared" si="2"/>
        <v>768512</v>
      </c>
      <c r="D413" s="77">
        <f t="shared" si="3"/>
        <v>614809.59999999998</v>
      </c>
      <c r="F413" s="40"/>
    </row>
    <row r="414" spans="1:6" ht="14.5" thickBot="1" x14ac:dyDescent="0.35">
      <c r="A414" s="102" t="s">
        <v>409</v>
      </c>
      <c r="B414" s="57">
        <v>204</v>
      </c>
      <c r="C414" s="57">
        <f t="shared" si="2"/>
        <v>306204</v>
      </c>
      <c r="D414" s="79">
        <f t="shared" si="3"/>
        <v>244963.20000000001</v>
      </c>
      <c r="F414" s="40"/>
    </row>
    <row r="415" spans="1:6" x14ac:dyDescent="0.3">
      <c r="A415" s="155" t="s">
        <v>410</v>
      </c>
      <c r="B415" s="109">
        <v>322</v>
      </c>
      <c r="C415" s="109">
        <f t="shared" si="2"/>
        <v>483322</v>
      </c>
      <c r="D415" s="110">
        <f t="shared" si="3"/>
        <v>386657.60000000003</v>
      </c>
      <c r="F415" s="40"/>
    </row>
    <row r="416" spans="1:6" x14ac:dyDescent="0.3">
      <c r="A416" s="101" t="s">
        <v>411</v>
      </c>
      <c r="B416" s="310">
        <v>23</v>
      </c>
      <c r="C416" s="310">
        <f t="shared" si="2"/>
        <v>34523</v>
      </c>
      <c r="D416" s="77">
        <f t="shared" si="3"/>
        <v>27618.400000000001</v>
      </c>
      <c r="F416" s="40"/>
    </row>
    <row r="417" spans="1:6" x14ac:dyDescent="0.3">
      <c r="A417" s="101" t="s">
        <v>412</v>
      </c>
      <c r="B417" s="310">
        <v>10</v>
      </c>
      <c r="C417" s="310">
        <f t="shared" si="2"/>
        <v>15010</v>
      </c>
      <c r="D417" s="77">
        <f t="shared" si="3"/>
        <v>12008</v>
      </c>
      <c r="F417" s="40"/>
    </row>
    <row r="418" spans="1:6" x14ac:dyDescent="0.3">
      <c r="A418" s="101" t="s">
        <v>413</v>
      </c>
      <c r="B418" s="310">
        <v>75</v>
      </c>
      <c r="C418" s="310">
        <f t="shared" si="2"/>
        <v>112575</v>
      </c>
      <c r="D418" s="77">
        <f t="shared" si="3"/>
        <v>90060</v>
      </c>
      <c r="F418" s="40"/>
    </row>
    <row r="419" spans="1:6" x14ac:dyDescent="0.3">
      <c r="A419" s="101" t="s">
        <v>414</v>
      </c>
      <c r="B419" s="310">
        <v>40</v>
      </c>
      <c r="C419" s="310">
        <f t="shared" si="2"/>
        <v>60040</v>
      </c>
      <c r="D419" s="77">
        <f t="shared" si="3"/>
        <v>48032</v>
      </c>
      <c r="F419" s="40"/>
    </row>
    <row r="420" spans="1:6" x14ac:dyDescent="0.3">
      <c r="A420" s="101" t="s">
        <v>415</v>
      </c>
      <c r="B420" s="310">
        <v>41</v>
      </c>
      <c r="C420" s="310">
        <f t="shared" si="2"/>
        <v>61541</v>
      </c>
      <c r="D420" s="77">
        <f t="shared" si="3"/>
        <v>49232.800000000003</v>
      </c>
      <c r="F420" s="40"/>
    </row>
    <row r="421" spans="1:6" ht="14.5" thickBot="1" x14ac:dyDescent="0.35">
      <c r="A421" s="102" t="s">
        <v>416</v>
      </c>
      <c r="B421" s="57">
        <v>132</v>
      </c>
      <c r="C421" s="57">
        <f t="shared" si="2"/>
        <v>198132</v>
      </c>
      <c r="D421" s="79">
        <f t="shared" si="3"/>
        <v>158505.60000000001</v>
      </c>
      <c r="F421" s="40"/>
    </row>
    <row r="422" spans="1:6" x14ac:dyDescent="0.3">
      <c r="A422" s="155" t="s">
        <v>417</v>
      </c>
      <c r="B422" s="109">
        <v>113</v>
      </c>
      <c r="C422" s="109">
        <f t="shared" si="2"/>
        <v>169613</v>
      </c>
      <c r="D422" s="110">
        <f t="shared" si="3"/>
        <v>135690.4</v>
      </c>
      <c r="F422" s="40"/>
    </row>
    <row r="423" spans="1:6" x14ac:dyDescent="0.3">
      <c r="A423" s="101" t="s">
        <v>418</v>
      </c>
      <c r="B423" s="310">
        <v>23</v>
      </c>
      <c r="C423" s="310">
        <f t="shared" si="2"/>
        <v>34523</v>
      </c>
      <c r="D423" s="77">
        <f t="shared" si="3"/>
        <v>27618.400000000001</v>
      </c>
      <c r="F423" s="40"/>
    </row>
    <row r="424" spans="1:6" x14ac:dyDescent="0.3">
      <c r="A424" s="101" t="s">
        <v>419</v>
      </c>
      <c r="B424" s="310">
        <v>90</v>
      </c>
      <c r="C424" s="310">
        <f t="shared" si="2"/>
        <v>135090</v>
      </c>
      <c r="D424" s="77">
        <f t="shared" si="3"/>
        <v>108072</v>
      </c>
      <c r="F424" s="40"/>
    </row>
    <row r="425" spans="1:6" ht="14.5" thickBot="1" x14ac:dyDescent="0.35">
      <c r="A425" s="102" t="s">
        <v>420</v>
      </c>
      <c r="B425" s="57">
        <v>1501</v>
      </c>
      <c r="C425" s="57">
        <f t="shared" si="2"/>
        <v>2253001</v>
      </c>
      <c r="D425" s="79">
        <f>C425*0.8</f>
        <v>1802400.8</v>
      </c>
      <c r="F425" s="40"/>
    </row>
    <row r="426" spans="1:6" ht="14.5" thickBot="1" x14ac:dyDescent="0.35">
      <c r="A426" s="40"/>
      <c r="C426" s="40" t="s">
        <v>193</v>
      </c>
      <c r="F426" s="40"/>
    </row>
    <row r="427" spans="1:6" x14ac:dyDescent="0.3">
      <c r="A427" s="155" t="s">
        <v>387</v>
      </c>
      <c r="B427" s="235"/>
      <c r="C427" s="110"/>
      <c r="D427" s="40"/>
      <c r="E427" s="40"/>
      <c r="F427" s="40"/>
    </row>
    <row r="428" spans="1:6" x14ac:dyDescent="0.3">
      <c r="A428" s="101" t="s">
        <v>388</v>
      </c>
      <c r="B428" s="236">
        <v>38000</v>
      </c>
      <c r="C428" s="77" t="s">
        <v>386</v>
      </c>
      <c r="D428" s="147" t="s">
        <v>427</v>
      </c>
      <c r="E428" s="40"/>
      <c r="F428" s="40"/>
    </row>
    <row r="429" spans="1:6" x14ac:dyDescent="0.3">
      <c r="A429" s="101" t="s">
        <v>389</v>
      </c>
      <c r="B429" s="236">
        <v>3000</v>
      </c>
      <c r="C429" s="77" t="s">
        <v>386</v>
      </c>
      <c r="D429" s="147" t="s">
        <v>427</v>
      </c>
      <c r="E429" s="40"/>
      <c r="F429" s="40"/>
    </row>
    <row r="430" spans="1:6" x14ac:dyDescent="0.3">
      <c r="A430" s="101" t="s">
        <v>390</v>
      </c>
      <c r="B430" s="236">
        <v>8000</v>
      </c>
      <c r="C430" s="77" t="s">
        <v>386</v>
      </c>
      <c r="D430" s="147" t="s">
        <v>427</v>
      </c>
      <c r="E430" s="40"/>
      <c r="F430" s="40"/>
    </row>
    <row r="431" spans="1:6" x14ac:dyDescent="0.3">
      <c r="A431" s="143" t="s">
        <v>391</v>
      </c>
      <c r="B431" s="159"/>
      <c r="C431" s="77"/>
      <c r="D431" s="147" t="s">
        <v>427</v>
      </c>
      <c r="E431" s="40"/>
      <c r="F431" s="40"/>
    </row>
    <row r="432" spans="1:6" x14ac:dyDescent="0.3">
      <c r="A432" s="101" t="s">
        <v>392</v>
      </c>
      <c r="B432" s="128">
        <f>15*0.9047</f>
        <v>13.570499999999999</v>
      </c>
      <c r="C432" s="77" t="s">
        <v>428</v>
      </c>
      <c r="D432" s="147" t="s">
        <v>425</v>
      </c>
      <c r="E432" s="40"/>
      <c r="F432" s="40"/>
    </row>
    <row r="433" spans="1:6" x14ac:dyDescent="0.3">
      <c r="A433" s="101" t="s">
        <v>426</v>
      </c>
      <c r="B433" s="237">
        <f>40*0.8</f>
        <v>32</v>
      </c>
      <c r="C433" s="77" t="s">
        <v>429</v>
      </c>
      <c r="D433" s="40"/>
      <c r="E433" s="40"/>
      <c r="F433" s="40"/>
    </row>
    <row r="434" spans="1:6" ht="14.5" thickBot="1" x14ac:dyDescent="0.35">
      <c r="A434" s="102" t="s">
        <v>430</v>
      </c>
      <c r="B434" s="57">
        <f>B433*B406</f>
        <v>144000</v>
      </c>
      <c r="C434" s="79" t="s">
        <v>431</v>
      </c>
      <c r="D434" s="40"/>
      <c r="E434" s="40"/>
      <c r="F434" s="40"/>
    </row>
    <row r="435" spans="1:6" x14ac:dyDescent="0.3">
      <c r="A435" s="40"/>
      <c r="B435" s="40"/>
      <c r="C435" s="40"/>
      <c r="D435" s="40"/>
      <c r="E435" s="40"/>
      <c r="F435" s="40"/>
    </row>
    <row r="436" spans="1:6" x14ac:dyDescent="0.3">
      <c r="A436" s="40"/>
      <c r="B436" s="40"/>
      <c r="C436" s="40"/>
      <c r="D436" s="40"/>
      <c r="E436" s="40"/>
      <c r="F436" s="40"/>
    </row>
    <row r="437" spans="1:6" ht="14.5" thickBot="1" x14ac:dyDescent="0.35">
      <c r="A437" s="147" t="s">
        <v>432</v>
      </c>
      <c r="B437" s="40"/>
      <c r="C437" s="40"/>
      <c r="D437" s="40"/>
      <c r="E437" s="40"/>
      <c r="F437" s="40"/>
    </row>
    <row r="438" spans="1:6" x14ac:dyDescent="0.3">
      <c r="A438" s="155" t="s">
        <v>540</v>
      </c>
      <c r="B438" s="109">
        <v>20</v>
      </c>
      <c r="C438" s="110" t="s">
        <v>541</v>
      </c>
      <c r="D438" s="40"/>
      <c r="E438" s="40"/>
      <c r="F438" s="40"/>
    </row>
    <row r="439" spans="1:6" x14ac:dyDescent="0.3">
      <c r="A439" s="143" t="s">
        <v>393</v>
      </c>
      <c r="B439" s="326">
        <v>1.3</v>
      </c>
      <c r="C439" s="77" t="s">
        <v>58</v>
      </c>
      <c r="D439" s="238" t="s">
        <v>394</v>
      </c>
      <c r="E439" s="40"/>
      <c r="F439" s="40"/>
    </row>
    <row r="440" spans="1:6" x14ac:dyDescent="0.3">
      <c r="A440" s="143" t="s">
        <v>395</v>
      </c>
      <c r="B440" s="206">
        <f>'Energy Yield'!$F$31/1000</f>
        <v>9225.874144325262</v>
      </c>
      <c r="C440" s="77" t="s">
        <v>396</v>
      </c>
      <c r="D440" s="40"/>
      <c r="E440" s="40"/>
      <c r="F440" s="40"/>
    </row>
    <row r="441" spans="1:6" x14ac:dyDescent="0.3">
      <c r="A441" s="143" t="s">
        <v>397</v>
      </c>
      <c r="B441" s="206">
        <f>D425</f>
        <v>1802400.8</v>
      </c>
      <c r="C441" s="77" t="s">
        <v>386</v>
      </c>
      <c r="D441" s="40"/>
      <c r="E441" s="40"/>
      <c r="F441" s="40"/>
    </row>
    <row r="442" spans="1:6" x14ac:dyDescent="0.3">
      <c r="A442" s="143" t="s">
        <v>398</v>
      </c>
      <c r="B442" s="206">
        <f>SUM(B428:B430)</f>
        <v>49000</v>
      </c>
      <c r="C442" s="77" t="s">
        <v>399</v>
      </c>
      <c r="D442" s="40"/>
      <c r="E442" s="40"/>
      <c r="F442" s="40"/>
    </row>
    <row r="443" spans="1:6" x14ac:dyDescent="0.3">
      <c r="A443" s="143" t="s">
        <v>400</v>
      </c>
      <c r="B443" s="206">
        <f>B432+B442/B440</f>
        <v>18.881649841572397</v>
      </c>
      <c r="C443" s="77" t="s">
        <v>401</v>
      </c>
      <c r="D443" s="40"/>
      <c r="E443" s="40"/>
      <c r="F443" s="40"/>
    </row>
    <row r="444" spans="1:6" x14ac:dyDescent="0.3">
      <c r="A444" s="143" t="s">
        <v>402</v>
      </c>
      <c r="B444" s="206">
        <f>1+1/(B439*0.01)*(1-(1+B439*0.01)^(1-B438))</f>
        <v>17.739612245441627</v>
      </c>
      <c r="C444" s="77"/>
      <c r="D444" s="40"/>
      <c r="E444" s="40"/>
      <c r="F444" s="40"/>
    </row>
    <row r="445" spans="1:6" ht="14.5" thickBot="1" x14ac:dyDescent="0.35">
      <c r="A445" s="157" t="s">
        <v>403</v>
      </c>
      <c r="B445" s="207">
        <f>(B441/(B440*B444))+B443</f>
        <v>29.894499814222772</v>
      </c>
      <c r="C445" s="79" t="s">
        <v>401</v>
      </c>
      <c r="D445" s="40"/>
      <c r="E445" s="40"/>
      <c r="F445" s="40"/>
    </row>
    <row r="446" spans="1:6" x14ac:dyDescent="0.3">
      <c r="A446" s="40"/>
      <c r="B446" s="40"/>
      <c r="C446" s="40"/>
      <c r="D446" s="40"/>
      <c r="E446" s="40"/>
      <c r="F446" s="40"/>
    </row>
    <row r="447" spans="1:6" x14ac:dyDescent="0.3">
      <c r="A447" s="40"/>
      <c r="B447" s="40"/>
      <c r="C447" s="40"/>
      <c r="D447" s="40"/>
      <c r="E447" s="40"/>
      <c r="F447" s="40"/>
    </row>
    <row r="448" spans="1:6" x14ac:dyDescent="0.3">
      <c r="A448" s="159"/>
      <c r="B448" s="159"/>
      <c r="C448" s="159"/>
      <c r="D448" s="40"/>
      <c r="E448" s="40"/>
      <c r="F448" s="40"/>
    </row>
    <row r="449" spans="1:6" ht="14.5" thickBot="1" x14ac:dyDescent="0.35">
      <c r="A449" s="40"/>
      <c r="B449" s="40"/>
      <c r="C449" s="40"/>
      <c r="D449" s="40"/>
      <c r="E449" s="40"/>
      <c r="F449" s="40"/>
    </row>
    <row r="450" spans="1:6" x14ac:dyDescent="0.3">
      <c r="A450" s="155" t="s">
        <v>474</v>
      </c>
      <c r="B450" s="223" t="s">
        <v>467</v>
      </c>
      <c r="C450" s="270" t="s">
        <v>468</v>
      </c>
      <c r="D450" s="270"/>
      <c r="E450" s="270" t="s">
        <v>476</v>
      </c>
      <c r="F450" s="329"/>
    </row>
    <row r="451" spans="1:6" x14ac:dyDescent="0.3">
      <c r="A451" s="76">
        <v>100</v>
      </c>
      <c r="B451" s="40" t="s">
        <v>469</v>
      </c>
      <c r="C451" s="40">
        <v>405</v>
      </c>
      <c r="D451" s="40" t="s">
        <v>475</v>
      </c>
      <c r="E451" s="40">
        <f>C451*0.69*1000</f>
        <v>279450</v>
      </c>
      <c r="F451" s="77" t="s">
        <v>192</v>
      </c>
    </row>
    <row r="452" spans="1:6" x14ac:dyDescent="0.3">
      <c r="A452" s="76">
        <v>800</v>
      </c>
      <c r="B452" s="40" t="s">
        <v>470</v>
      </c>
      <c r="C452" s="40">
        <v>1030</v>
      </c>
      <c r="D452" s="40" t="s">
        <v>475</v>
      </c>
      <c r="E452" s="40">
        <f t="shared" ref="E452:E455" si="4">C452*0.69*1000</f>
        <v>710699.99999999988</v>
      </c>
      <c r="F452" s="77" t="s">
        <v>192</v>
      </c>
    </row>
    <row r="453" spans="1:6" x14ac:dyDescent="0.3">
      <c r="A453" s="76">
        <v>1000</v>
      </c>
      <c r="B453" s="40" t="s">
        <v>471</v>
      </c>
      <c r="C453" s="40">
        <v>1250</v>
      </c>
      <c r="D453" s="40" t="s">
        <v>475</v>
      </c>
      <c r="E453" s="40">
        <f t="shared" si="4"/>
        <v>862499.99999999988</v>
      </c>
      <c r="F453" s="77" t="s">
        <v>192</v>
      </c>
    </row>
    <row r="454" spans="1:6" x14ac:dyDescent="0.3">
      <c r="A454" s="76">
        <v>3000</v>
      </c>
      <c r="B454" s="40" t="s">
        <v>472</v>
      </c>
      <c r="C454" s="40">
        <v>2330</v>
      </c>
      <c r="D454" s="40" t="s">
        <v>475</v>
      </c>
      <c r="E454" s="40">
        <f t="shared" si="4"/>
        <v>1607699.9999999998</v>
      </c>
      <c r="F454" s="77" t="s">
        <v>192</v>
      </c>
    </row>
    <row r="455" spans="1:6" x14ac:dyDescent="0.3">
      <c r="A455" s="76">
        <v>3500</v>
      </c>
      <c r="B455" s="40" t="s">
        <v>473</v>
      </c>
      <c r="C455" s="40">
        <v>3130</v>
      </c>
      <c r="D455" s="40" t="s">
        <v>475</v>
      </c>
      <c r="E455" s="40">
        <f t="shared" si="4"/>
        <v>2159700</v>
      </c>
      <c r="F455" s="77" t="s">
        <v>192</v>
      </c>
    </row>
    <row r="456" spans="1:6" ht="14.5" thickBot="1" x14ac:dyDescent="0.35">
      <c r="A456" s="253" t="s">
        <v>478</v>
      </c>
      <c r="B456" s="254"/>
      <c r="C456" s="254"/>
      <c r="D456" s="254"/>
      <c r="E456" s="254">
        <f>4500*500.61+282983</f>
        <v>2535728</v>
      </c>
      <c r="F456" s="79" t="s">
        <v>192</v>
      </c>
    </row>
    <row r="457" spans="1:6" x14ac:dyDescent="0.3">
      <c r="A457" s="225" t="s">
        <v>477</v>
      </c>
      <c r="B457" s="40"/>
      <c r="D457" s="40"/>
      <c r="E457" s="40"/>
      <c r="F457" s="40"/>
    </row>
    <row r="458" spans="1:6" x14ac:dyDescent="0.3">
      <c r="A458" s="40"/>
      <c r="B458" s="40"/>
      <c r="D458" s="40"/>
      <c r="E458" s="40"/>
      <c r="F458" s="40"/>
    </row>
    <row r="459" spans="1:6" x14ac:dyDescent="0.3">
      <c r="A459" s="40"/>
      <c r="B459" s="40"/>
      <c r="D459" s="40"/>
      <c r="E459" s="40"/>
      <c r="F459" s="40"/>
    </row>
    <row r="460" spans="1:6" x14ac:dyDescent="0.3">
      <c r="A460" s="40"/>
      <c r="B460" s="40"/>
      <c r="D460" s="40"/>
      <c r="E460" s="40"/>
      <c r="F460" s="40"/>
    </row>
    <row r="461" spans="1:6" x14ac:dyDescent="0.3">
      <c r="A461" s="40"/>
      <c r="B461" s="40"/>
      <c r="D461" s="40"/>
      <c r="E461" s="40"/>
      <c r="F461" s="40"/>
    </row>
    <row r="462" spans="1:6" x14ac:dyDescent="0.3">
      <c r="A462" s="40"/>
      <c r="B462" s="40"/>
      <c r="D462" s="40"/>
      <c r="E462" s="40"/>
      <c r="F462" s="40"/>
    </row>
    <row r="463" spans="1:6" x14ac:dyDescent="0.3">
      <c r="A463" s="40"/>
      <c r="B463" s="40"/>
      <c r="D463" s="40"/>
      <c r="E463" s="40"/>
      <c r="F463" s="40"/>
    </row>
    <row r="464" spans="1:6" x14ac:dyDescent="0.3">
      <c r="A464" s="40"/>
      <c r="B464" s="40"/>
      <c r="D464" s="40"/>
    </row>
    <row r="465" spans="1:6" x14ac:dyDescent="0.3">
      <c r="A465" s="40"/>
      <c r="B465" s="40"/>
      <c r="D465" s="40"/>
    </row>
    <row r="466" spans="1:6" x14ac:dyDescent="0.3">
      <c r="A466" s="40"/>
      <c r="B466" s="40"/>
      <c r="D466" s="40"/>
    </row>
    <row r="467" spans="1:6" x14ac:dyDescent="0.3">
      <c r="A467" s="40"/>
      <c r="B467" s="40"/>
      <c r="D467" s="40"/>
      <c r="E467" s="40"/>
      <c r="F467" s="40"/>
    </row>
    <row r="468" spans="1:6" x14ac:dyDescent="0.3">
      <c r="A468" s="40"/>
      <c r="B468" s="40"/>
      <c r="D468" s="40"/>
      <c r="E468" s="40"/>
      <c r="F468" s="40"/>
    </row>
    <row r="469" spans="1:6" x14ac:dyDescent="0.3">
      <c r="A469" s="40"/>
      <c r="B469" s="40"/>
      <c r="D469" s="40"/>
      <c r="E469" s="40"/>
      <c r="F469" s="40"/>
    </row>
    <row r="470" spans="1:6" x14ac:dyDescent="0.3">
      <c r="A470" s="40"/>
      <c r="B470" s="40"/>
      <c r="D470" s="40"/>
      <c r="E470" s="40"/>
      <c r="F470" s="40"/>
    </row>
    <row r="471" spans="1:6" x14ac:dyDescent="0.3">
      <c r="D471" s="40"/>
    </row>
    <row r="472" spans="1:6" x14ac:dyDescent="0.3">
      <c r="D472" s="40"/>
    </row>
    <row r="473" spans="1:6" x14ac:dyDescent="0.3">
      <c r="A473" s="40"/>
      <c r="B473" s="40"/>
      <c r="D473" s="40"/>
    </row>
    <row r="474" spans="1:6" x14ac:dyDescent="0.3">
      <c r="A474" s="40"/>
      <c r="B474" s="40"/>
      <c r="C474" s="40"/>
      <c r="D474" s="40"/>
    </row>
  </sheetData>
  <mergeCells count="14">
    <mergeCell ref="E450:F450"/>
    <mergeCell ref="C450:D450"/>
    <mergeCell ref="D296:E296"/>
    <mergeCell ref="G296:H296"/>
    <mergeCell ref="H224:I224"/>
    <mergeCell ref="K224:L224"/>
    <mergeCell ref="F276:H276"/>
    <mergeCell ref="G78:H78"/>
    <mergeCell ref="E78:F78"/>
    <mergeCell ref="X107:Z107"/>
    <mergeCell ref="X133:Z133"/>
    <mergeCell ref="G154:H154"/>
    <mergeCell ref="J154:K154"/>
    <mergeCell ref="L154:M154"/>
  </mergeCells>
  <phoneticPr fontId="18" type="noConversion"/>
  <hyperlinks>
    <hyperlink ref="N155" r:id="rId1" display="https://tradingeconomics.com/commodities" xr:uid="{E30FB4F1-43C7-488A-BF60-B2F5D8F8064F}"/>
    <hyperlink ref="G223" r:id="rId2" display="https://tradingeconomics.com/commodities" xr:uid="{C914BE9C-740F-4FEA-8E56-A79751EC86E2}"/>
    <hyperlink ref="D295" r:id="rId3" display="https://www.misterconcrete.co.uk/ready-mix-concrete-prices" xr:uid="{B42AB774-419C-432E-924B-487F1C075F9E}"/>
    <hyperlink ref="I297" r:id="rId4" display="https://tradingeconomics.com/commodities" xr:uid="{BE70C0E8-8925-41D6-9087-8D0D104A52BC}"/>
    <hyperlink ref="I74" r:id="rId5" display="https://www.nrel.gov/docs/fy19osti/73585.pdf" xr:uid="{E7B0295E-7BC6-476F-9D99-715661F99E94}"/>
    <hyperlink ref="A457" r:id="rId6" display="https://www.renewablesfirst.co.uk/home/renewable-energy-technologies/windpower/windpower-learning-centre/how-much-does-a-wind-turbine-cost/" xr:uid="{34A98986-3740-4E76-91DE-969D49102A5F}"/>
    <hyperlink ref="D439" r:id="rId7" location=":~:text=Post%2Demployment%20benefits%20provisions,of%20CPI%20measured%20at%202.90%25." display="https://www.gov.uk/government/publications/dhsc-group-accounting-manual-2021-to-2022/department-of-health-and-social-care-group-accounting-manual-2021-to-2022-additional-guidance-version-1#:~:text=Post%2Demployment%20benefits%20provisions,of%20CPI%20measured%20at%202.90%25." xr:uid="{25CFFFD1-D387-4A34-8DC3-A131528095C9}"/>
    <hyperlink ref="E407" r:id="rId8" display="https://www.nrel.gov/docs/fy23osti/84774.pdf" xr:uid="{394F1F33-583A-4E27-9AAA-58C6B72DC431}"/>
  </hyperlinks>
  <pageMargins left="0.7" right="0.7" top="0.75" bottom="0.75" header="0.3" footer="0.3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4220-FDC0-4B11-AFF4-6F07685583B1}">
  <dimension ref="A1:T66"/>
  <sheetViews>
    <sheetView zoomScaleNormal="100" workbookViewId="0">
      <selection activeCell="H32" sqref="F4:H32"/>
    </sheetView>
  </sheetViews>
  <sheetFormatPr defaultRowHeight="14" x14ac:dyDescent="0.3"/>
  <cols>
    <col min="1" max="1" width="26.83203125" customWidth="1"/>
    <col min="2" max="2" width="25.08203125" customWidth="1"/>
    <col min="3" max="3" width="18.4140625" customWidth="1"/>
    <col min="4" max="4" width="17.75" customWidth="1"/>
    <col min="5" max="5" width="17.33203125" customWidth="1"/>
    <col min="6" max="6" width="17.58203125" customWidth="1"/>
    <col min="7" max="7" width="18.33203125" customWidth="1"/>
    <col min="8" max="8" width="15.33203125" customWidth="1"/>
    <col min="9" max="9" width="29.9140625" customWidth="1"/>
    <col min="10" max="10" width="19.08203125" customWidth="1"/>
    <col min="12" max="12" width="11.83203125" customWidth="1"/>
    <col min="20" max="20" width="14.83203125" customWidth="1"/>
  </cols>
  <sheetData>
    <row r="1" spans="1:20" x14ac:dyDescent="0.3">
      <c r="A1" s="117" t="s">
        <v>404</v>
      </c>
      <c r="B1" s="109">
        <v>4500</v>
      </c>
      <c r="C1" s="110" t="s">
        <v>364</v>
      </c>
      <c r="D1" s="40"/>
      <c r="E1" s="40"/>
      <c r="F1" s="40"/>
      <c r="L1" s="225"/>
    </row>
    <row r="2" spans="1:20" ht="14.5" thickBot="1" x14ac:dyDescent="0.35">
      <c r="A2" s="78" t="s">
        <v>424</v>
      </c>
      <c r="B2" s="57">
        <v>1501</v>
      </c>
      <c r="C2" s="79" t="s">
        <v>405</v>
      </c>
      <c r="L2" s="225"/>
      <c r="P2" s="225"/>
    </row>
    <row r="3" spans="1:20" ht="51.65" customHeight="1" thickBot="1" x14ac:dyDescent="0.35">
      <c r="A3" s="40"/>
      <c r="B3" s="40"/>
      <c r="C3" s="40"/>
      <c r="D3" s="40"/>
      <c r="E3" s="40"/>
      <c r="F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ht="16.5" x14ac:dyDescent="0.45">
      <c r="A4" s="231" t="s">
        <v>421</v>
      </c>
      <c r="B4" s="26" t="s">
        <v>423</v>
      </c>
      <c r="C4" s="26" t="s">
        <v>422</v>
      </c>
      <c r="D4" s="232" t="s">
        <v>422</v>
      </c>
      <c r="E4" s="40"/>
      <c r="F4" s="225" t="s">
        <v>385</v>
      </c>
      <c r="I4" s="40"/>
      <c r="J4" s="256"/>
      <c r="K4" s="256"/>
      <c r="L4" s="255"/>
      <c r="M4" s="40"/>
      <c r="N4" s="40"/>
      <c r="O4" s="40"/>
      <c r="P4" s="40"/>
      <c r="Q4" s="40"/>
      <c r="R4" s="40"/>
      <c r="S4" s="40"/>
      <c r="T4" s="40"/>
    </row>
    <row r="5" spans="1:20" ht="14.5" thickBot="1" x14ac:dyDescent="0.35">
      <c r="A5" s="135"/>
      <c r="B5" s="233" t="s">
        <v>405</v>
      </c>
      <c r="C5" s="233" t="s">
        <v>89</v>
      </c>
      <c r="D5" s="234" t="s">
        <v>192</v>
      </c>
      <c r="E5" s="40"/>
      <c r="F5" s="40"/>
      <c r="I5" s="40"/>
      <c r="J5" s="41"/>
      <c r="K5" s="250"/>
      <c r="L5" s="41"/>
      <c r="M5" s="250"/>
      <c r="N5" s="40"/>
      <c r="O5" s="40"/>
      <c r="P5" s="40"/>
      <c r="Q5" s="40"/>
      <c r="R5" s="40"/>
      <c r="S5" s="40"/>
      <c r="T5" s="40"/>
    </row>
    <row r="6" spans="1:20" x14ac:dyDescent="0.3">
      <c r="A6" s="108" t="s">
        <v>406</v>
      </c>
      <c r="B6" s="109">
        <v>1030</v>
      </c>
      <c r="C6" s="109">
        <f>$B$2*B6</f>
        <v>1546030</v>
      </c>
      <c r="D6" s="110">
        <f>C6*0.8</f>
        <v>1236824</v>
      </c>
      <c r="E6" s="40"/>
      <c r="F6" s="40"/>
      <c r="J6" s="3"/>
      <c r="K6" s="250"/>
      <c r="L6" s="41"/>
      <c r="M6" s="250"/>
      <c r="N6" s="40"/>
      <c r="O6" s="40"/>
      <c r="P6" s="40"/>
      <c r="Q6" s="40"/>
      <c r="R6" s="40"/>
      <c r="S6" s="40"/>
      <c r="T6" s="40"/>
    </row>
    <row r="7" spans="1:20" x14ac:dyDescent="0.3">
      <c r="A7" s="76" t="s">
        <v>407</v>
      </c>
      <c r="B7" s="40">
        <v>313</v>
      </c>
      <c r="C7" s="40">
        <f t="shared" ref="C7:C20" si="0">$B$2*B7</f>
        <v>469813</v>
      </c>
      <c r="D7" s="77">
        <f t="shared" ref="D7:D20" si="1">C7*0.8</f>
        <v>375850.4</v>
      </c>
      <c r="E7" s="40"/>
      <c r="F7" s="40"/>
      <c r="I7" s="40"/>
      <c r="J7" s="41"/>
      <c r="K7" s="250"/>
      <c r="L7" s="41"/>
      <c r="M7" s="250"/>
      <c r="N7" s="40"/>
      <c r="O7" s="40"/>
      <c r="P7" s="40"/>
      <c r="Q7" s="40"/>
      <c r="R7" s="40"/>
      <c r="S7" s="40"/>
      <c r="T7" s="40"/>
    </row>
    <row r="8" spans="1:20" x14ac:dyDescent="0.3">
      <c r="A8" s="76" t="s">
        <v>408</v>
      </c>
      <c r="B8" s="40">
        <v>512</v>
      </c>
      <c r="C8" s="40">
        <f t="shared" si="0"/>
        <v>768512</v>
      </c>
      <c r="D8" s="77">
        <f t="shared" si="1"/>
        <v>614809.59999999998</v>
      </c>
      <c r="E8" s="40"/>
      <c r="F8" s="40"/>
      <c r="I8" s="40"/>
      <c r="J8" s="41"/>
      <c r="K8" s="250"/>
      <c r="L8" s="41"/>
      <c r="M8" s="250"/>
      <c r="N8" s="40"/>
      <c r="O8" s="40"/>
      <c r="P8" s="40"/>
      <c r="Q8" s="40"/>
      <c r="R8" s="40"/>
      <c r="S8" s="40"/>
      <c r="T8" s="40"/>
    </row>
    <row r="9" spans="1:20" ht="14.5" thickBot="1" x14ac:dyDescent="0.35">
      <c r="A9" s="78" t="s">
        <v>409</v>
      </c>
      <c r="B9" s="57">
        <v>204</v>
      </c>
      <c r="C9" s="57">
        <f t="shared" si="0"/>
        <v>306204</v>
      </c>
      <c r="D9" s="79">
        <f t="shared" si="1"/>
        <v>244963.20000000001</v>
      </c>
      <c r="E9" s="40"/>
      <c r="F9" s="40"/>
      <c r="I9" s="256"/>
      <c r="J9" s="256"/>
      <c r="K9" s="256"/>
      <c r="L9" s="40"/>
      <c r="M9" s="40"/>
      <c r="N9" s="40"/>
      <c r="O9" s="40"/>
      <c r="P9" s="40"/>
      <c r="Q9" s="40"/>
      <c r="R9" s="40"/>
      <c r="S9" s="40"/>
      <c r="T9" s="40"/>
    </row>
    <row r="10" spans="1:20" x14ac:dyDescent="0.3">
      <c r="A10" s="108" t="s">
        <v>410</v>
      </c>
      <c r="B10" s="109">
        <v>322</v>
      </c>
      <c r="C10" s="109">
        <f t="shared" si="0"/>
        <v>483322</v>
      </c>
      <c r="D10" s="110">
        <f t="shared" si="1"/>
        <v>386657.60000000003</v>
      </c>
      <c r="E10" s="40"/>
      <c r="F10" s="40"/>
    </row>
    <row r="11" spans="1:20" x14ac:dyDescent="0.3">
      <c r="A11" s="76" t="s">
        <v>411</v>
      </c>
      <c r="B11" s="40">
        <v>23</v>
      </c>
      <c r="C11" s="40">
        <f t="shared" si="0"/>
        <v>34523</v>
      </c>
      <c r="D11" s="77">
        <f t="shared" si="1"/>
        <v>27618.400000000001</v>
      </c>
      <c r="E11" s="40"/>
      <c r="F11" s="40"/>
    </row>
    <row r="12" spans="1:20" x14ac:dyDescent="0.3">
      <c r="A12" s="76" t="s">
        <v>412</v>
      </c>
      <c r="B12" s="40">
        <v>10</v>
      </c>
      <c r="C12" s="40">
        <f t="shared" si="0"/>
        <v>15010</v>
      </c>
      <c r="D12" s="77">
        <f t="shared" si="1"/>
        <v>12008</v>
      </c>
      <c r="E12" s="40"/>
      <c r="F12" s="40"/>
    </row>
    <row r="13" spans="1:20" x14ac:dyDescent="0.3">
      <c r="A13" s="76" t="s">
        <v>413</v>
      </c>
      <c r="B13" s="40">
        <v>75</v>
      </c>
      <c r="C13" s="40">
        <f t="shared" si="0"/>
        <v>112575</v>
      </c>
      <c r="D13" s="77">
        <f t="shared" si="1"/>
        <v>90060</v>
      </c>
      <c r="E13" s="40"/>
      <c r="F13" s="40"/>
    </row>
    <row r="14" spans="1:20" x14ac:dyDescent="0.3">
      <c r="A14" s="76" t="s">
        <v>414</v>
      </c>
      <c r="B14" s="40">
        <v>40</v>
      </c>
      <c r="C14" s="40">
        <f t="shared" si="0"/>
        <v>60040</v>
      </c>
      <c r="D14" s="77">
        <f t="shared" si="1"/>
        <v>48032</v>
      </c>
      <c r="E14" s="40"/>
      <c r="F14" s="40"/>
    </row>
    <row r="15" spans="1:20" x14ac:dyDescent="0.3">
      <c r="A15" s="76" t="s">
        <v>415</v>
      </c>
      <c r="B15" s="40">
        <v>41</v>
      </c>
      <c r="C15" s="40">
        <f t="shared" si="0"/>
        <v>61541</v>
      </c>
      <c r="D15" s="77">
        <f t="shared" si="1"/>
        <v>49232.800000000003</v>
      </c>
      <c r="E15" s="40"/>
      <c r="F15" s="40"/>
    </row>
    <row r="16" spans="1:20" ht="14.5" thickBot="1" x14ac:dyDescent="0.35">
      <c r="A16" s="78" t="s">
        <v>416</v>
      </c>
      <c r="B16" s="57">
        <v>132</v>
      </c>
      <c r="C16" s="57">
        <f t="shared" si="0"/>
        <v>198132</v>
      </c>
      <c r="D16" s="79">
        <f t="shared" si="1"/>
        <v>158505.60000000001</v>
      </c>
      <c r="E16" s="40"/>
      <c r="F16" s="40"/>
    </row>
    <row r="17" spans="1:6" x14ac:dyDescent="0.3">
      <c r="A17" s="111" t="s">
        <v>417</v>
      </c>
      <c r="B17" s="40">
        <v>113</v>
      </c>
      <c r="C17" s="40">
        <f t="shared" si="0"/>
        <v>169613</v>
      </c>
      <c r="D17" s="77">
        <f t="shared" si="1"/>
        <v>135690.4</v>
      </c>
      <c r="E17" s="40"/>
      <c r="F17" s="40"/>
    </row>
    <row r="18" spans="1:6" x14ac:dyDescent="0.3">
      <c r="A18" s="76" t="s">
        <v>418</v>
      </c>
      <c r="B18" s="40">
        <v>23</v>
      </c>
      <c r="C18" s="40">
        <f t="shared" si="0"/>
        <v>34523</v>
      </c>
      <c r="D18" s="77">
        <f t="shared" si="1"/>
        <v>27618.400000000001</v>
      </c>
      <c r="E18" s="40"/>
      <c r="F18" s="40"/>
    </row>
    <row r="19" spans="1:6" x14ac:dyDescent="0.3">
      <c r="A19" s="76" t="s">
        <v>419</v>
      </c>
      <c r="B19" s="40">
        <v>90</v>
      </c>
      <c r="C19" s="40">
        <f t="shared" si="0"/>
        <v>135090</v>
      </c>
      <c r="D19" s="77">
        <f t="shared" si="1"/>
        <v>108072</v>
      </c>
      <c r="E19" s="40"/>
      <c r="F19" s="40"/>
    </row>
    <row r="20" spans="1:6" ht="14.5" thickBot="1" x14ac:dyDescent="0.35">
      <c r="A20" s="78" t="s">
        <v>420</v>
      </c>
      <c r="B20" s="57">
        <v>1501</v>
      </c>
      <c r="C20" s="57">
        <f>$B$2*B20</f>
        <v>2253001</v>
      </c>
      <c r="D20" s="79">
        <f t="shared" si="1"/>
        <v>1802400.8</v>
      </c>
      <c r="E20" s="40"/>
      <c r="F20" s="40"/>
    </row>
    <row r="21" spans="1:6" x14ac:dyDescent="0.3">
      <c r="A21" s="40"/>
      <c r="C21" s="40" t="s">
        <v>193</v>
      </c>
      <c r="E21" s="40"/>
      <c r="F21" s="40"/>
    </row>
    <row r="22" spans="1:6" ht="14.5" thickBot="1" x14ac:dyDescent="0.35">
      <c r="A22" s="40"/>
      <c r="B22" s="40"/>
      <c r="C22" s="40"/>
      <c r="D22" s="40"/>
      <c r="E22" s="40"/>
      <c r="F22" s="40"/>
    </row>
    <row r="23" spans="1:6" x14ac:dyDescent="0.3">
      <c r="A23" s="108" t="s">
        <v>387</v>
      </c>
      <c r="B23" s="235"/>
      <c r="C23" s="110"/>
      <c r="D23" s="40"/>
      <c r="E23" s="40"/>
      <c r="F23" s="40"/>
    </row>
    <row r="24" spans="1:6" x14ac:dyDescent="0.3">
      <c r="A24" s="76" t="s">
        <v>388</v>
      </c>
      <c r="B24" s="236">
        <v>38000</v>
      </c>
      <c r="C24" s="77" t="s">
        <v>386</v>
      </c>
      <c r="D24" s="147" t="s">
        <v>427</v>
      </c>
      <c r="E24" s="40"/>
      <c r="F24" s="40"/>
    </row>
    <row r="25" spans="1:6" x14ac:dyDescent="0.3">
      <c r="A25" s="76" t="s">
        <v>389</v>
      </c>
      <c r="B25" s="236">
        <v>3000</v>
      </c>
      <c r="C25" s="77" t="s">
        <v>386</v>
      </c>
      <c r="D25" s="147" t="s">
        <v>427</v>
      </c>
      <c r="E25" s="40"/>
      <c r="F25" s="40"/>
    </row>
    <row r="26" spans="1:6" x14ac:dyDescent="0.3">
      <c r="A26" s="76" t="s">
        <v>390</v>
      </c>
      <c r="B26" s="236">
        <v>8000</v>
      </c>
      <c r="C26" s="77" t="s">
        <v>386</v>
      </c>
      <c r="D26" s="147" t="s">
        <v>427</v>
      </c>
      <c r="E26" s="40"/>
      <c r="F26" s="40"/>
    </row>
    <row r="27" spans="1:6" x14ac:dyDescent="0.3">
      <c r="A27" s="111" t="s">
        <v>391</v>
      </c>
      <c r="B27" s="159"/>
      <c r="C27" s="77"/>
      <c r="D27" s="147" t="s">
        <v>427</v>
      </c>
      <c r="E27" s="40"/>
      <c r="F27" s="40"/>
    </row>
    <row r="28" spans="1:6" x14ac:dyDescent="0.3">
      <c r="A28" s="76" t="s">
        <v>392</v>
      </c>
      <c r="B28" s="128">
        <f>15*0.9047</f>
        <v>13.570499999999999</v>
      </c>
      <c r="C28" s="77" t="s">
        <v>428</v>
      </c>
      <c r="D28" s="147" t="s">
        <v>425</v>
      </c>
      <c r="E28" s="40"/>
      <c r="F28" s="40"/>
    </row>
    <row r="29" spans="1:6" x14ac:dyDescent="0.3">
      <c r="A29" s="76" t="s">
        <v>426</v>
      </c>
      <c r="B29" s="237">
        <f>40*0.8</f>
        <v>32</v>
      </c>
      <c r="C29" s="77" t="s">
        <v>429</v>
      </c>
      <c r="D29" s="40"/>
      <c r="E29" s="40"/>
      <c r="F29" s="40"/>
    </row>
    <row r="30" spans="1:6" ht="14.5" thickBot="1" x14ac:dyDescent="0.35">
      <c r="A30" s="78" t="s">
        <v>430</v>
      </c>
      <c r="B30" s="57">
        <f>B29*B1</f>
        <v>144000</v>
      </c>
      <c r="C30" s="79" t="s">
        <v>431</v>
      </c>
      <c r="D30" s="40"/>
      <c r="E30" s="40"/>
      <c r="F30" s="40"/>
    </row>
    <row r="31" spans="1:6" x14ac:dyDescent="0.3">
      <c r="A31" s="40"/>
      <c r="B31" s="40"/>
      <c r="C31" s="40"/>
      <c r="D31" s="40"/>
      <c r="E31" s="40"/>
      <c r="F31" s="40"/>
    </row>
    <row r="32" spans="1:6" x14ac:dyDescent="0.3">
      <c r="A32" s="40"/>
      <c r="B32" s="40"/>
      <c r="C32" s="40"/>
      <c r="D32" s="40"/>
      <c r="E32" s="40"/>
      <c r="F32" s="40"/>
    </row>
    <row r="33" spans="1:20" ht="14.5" thickBot="1" x14ac:dyDescent="0.35">
      <c r="A33" s="40" t="s">
        <v>432</v>
      </c>
      <c r="B33" s="40"/>
      <c r="C33" s="40"/>
      <c r="D33" s="40"/>
      <c r="E33" s="40"/>
      <c r="F33" s="40"/>
    </row>
    <row r="34" spans="1:20" x14ac:dyDescent="0.3">
      <c r="A34" s="108" t="s">
        <v>540</v>
      </c>
      <c r="B34" s="109">
        <v>20</v>
      </c>
      <c r="C34" s="110" t="s">
        <v>541</v>
      </c>
      <c r="D34" s="40"/>
      <c r="E34" s="40"/>
      <c r="F34" s="40"/>
    </row>
    <row r="35" spans="1:20" x14ac:dyDescent="0.3">
      <c r="A35" s="111" t="s">
        <v>393</v>
      </c>
      <c r="B35" s="326">
        <v>1.3</v>
      </c>
      <c r="C35" s="77" t="s">
        <v>58</v>
      </c>
      <c r="D35" s="238" t="s">
        <v>394</v>
      </c>
      <c r="E35" s="40"/>
      <c r="F35" s="40"/>
    </row>
    <row r="36" spans="1:20" x14ac:dyDescent="0.3">
      <c r="A36" s="111" t="s">
        <v>395</v>
      </c>
      <c r="B36" s="206">
        <f>'Energy Yield'!F31/1000</f>
        <v>9225.874144325262</v>
      </c>
      <c r="C36" s="77" t="s">
        <v>396</v>
      </c>
      <c r="D36" s="40"/>
      <c r="E36" s="40"/>
      <c r="F36" s="40"/>
      <c r="M36" s="239"/>
    </row>
    <row r="37" spans="1:20" ht="14.5" customHeight="1" x14ac:dyDescent="0.3">
      <c r="A37" s="111" t="s">
        <v>397</v>
      </c>
      <c r="B37" s="206">
        <f>D20</f>
        <v>1802400.8</v>
      </c>
      <c r="C37" s="77" t="s">
        <v>386</v>
      </c>
      <c r="D37" s="40"/>
      <c r="E37" s="40"/>
      <c r="F37" s="40"/>
      <c r="M37" s="240"/>
      <c r="N37" s="241"/>
      <c r="O37" s="241"/>
      <c r="P37" s="241"/>
      <c r="Q37" s="241"/>
      <c r="R37" s="241"/>
      <c r="S37" s="241"/>
      <c r="T37" s="241"/>
    </row>
    <row r="38" spans="1:20" ht="14" customHeight="1" x14ac:dyDescent="0.3">
      <c r="A38" s="111" t="s">
        <v>398</v>
      </c>
      <c r="B38" s="206">
        <f>SUM(B24:B26)</f>
        <v>49000</v>
      </c>
      <c r="C38" s="77" t="s">
        <v>399</v>
      </c>
      <c r="D38" s="40"/>
      <c r="E38" s="40"/>
      <c r="F38" s="40"/>
      <c r="M38" s="247"/>
      <c r="N38" s="244"/>
      <c r="O38" s="245"/>
      <c r="P38" s="246"/>
      <c r="Q38" s="32"/>
      <c r="R38" s="242"/>
      <c r="S38" s="2"/>
      <c r="T38" s="243"/>
    </row>
    <row r="39" spans="1:20" x14ac:dyDescent="0.3">
      <c r="A39" s="111" t="s">
        <v>400</v>
      </c>
      <c r="B39" s="206">
        <f>B28+B38/B36</f>
        <v>18.881649841572397</v>
      </c>
      <c r="C39" s="77" t="s">
        <v>401</v>
      </c>
      <c r="D39" s="40"/>
      <c r="E39" s="40"/>
      <c r="F39" s="40"/>
      <c r="M39" s="247"/>
      <c r="N39" s="244"/>
      <c r="O39" s="245"/>
      <c r="P39" s="246"/>
      <c r="Q39" s="32"/>
      <c r="R39" s="242"/>
      <c r="S39" s="2"/>
      <c r="T39" s="243"/>
    </row>
    <row r="40" spans="1:20" x14ac:dyDescent="0.3">
      <c r="A40" s="111" t="s">
        <v>402</v>
      </c>
      <c r="B40" s="206">
        <f>1+1/(B35*0.01)*(1-(1+B35*0.01)^(1-B34))</f>
        <v>17.739612245441627</v>
      </c>
      <c r="C40" s="77"/>
      <c r="D40" s="40"/>
      <c r="E40" s="40"/>
      <c r="F40" s="40"/>
      <c r="M40" s="247"/>
      <c r="N40" s="244"/>
      <c r="O40" s="245"/>
      <c r="P40" s="246"/>
      <c r="Q40" s="32"/>
      <c r="R40" s="242"/>
      <c r="S40" s="2"/>
      <c r="T40" s="243"/>
    </row>
    <row r="41" spans="1:20" ht="14.5" thickBot="1" x14ac:dyDescent="0.35">
      <c r="A41" s="112" t="s">
        <v>403</v>
      </c>
      <c r="B41" s="207">
        <f>(B37/(B36*B40))+B39</f>
        <v>29.894499814222772</v>
      </c>
      <c r="C41" s="79" t="s">
        <v>401</v>
      </c>
      <c r="D41" s="40"/>
      <c r="E41" s="40"/>
      <c r="F41" s="40"/>
      <c r="M41" s="247"/>
      <c r="N41" s="244"/>
      <c r="O41" s="245"/>
      <c r="P41" s="246"/>
      <c r="Q41" s="32"/>
      <c r="R41" s="242"/>
      <c r="S41" s="2"/>
      <c r="T41" s="243"/>
    </row>
    <row r="42" spans="1:20" x14ac:dyDescent="0.3">
      <c r="A42" s="40"/>
      <c r="B42" s="40"/>
      <c r="C42" s="40"/>
      <c r="D42" s="40"/>
      <c r="E42" s="40"/>
      <c r="F42" s="40"/>
      <c r="M42" s="247"/>
      <c r="N42" s="244"/>
      <c r="O42" s="245"/>
      <c r="P42" s="246"/>
      <c r="Q42" s="32"/>
      <c r="R42" s="242"/>
      <c r="S42" s="2"/>
      <c r="T42" s="243"/>
    </row>
    <row r="43" spans="1:20" x14ac:dyDescent="0.3">
      <c r="A43" s="40"/>
      <c r="B43" s="40"/>
      <c r="C43" s="40"/>
      <c r="D43" s="40"/>
      <c r="E43" s="40"/>
      <c r="F43" s="40"/>
      <c r="M43" s="247"/>
      <c r="N43" s="244"/>
      <c r="O43" s="245"/>
      <c r="P43" s="246"/>
      <c r="Q43" s="32"/>
      <c r="R43" s="242"/>
      <c r="S43" s="2"/>
      <c r="T43" s="243"/>
    </row>
    <row r="44" spans="1:20" x14ac:dyDescent="0.3">
      <c r="A44" s="159"/>
      <c r="B44" s="159"/>
      <c r="C44" s="159"/>
      <c r="D44" s="40"/>
      <c r="E44" s="40"/>
      <c r="F44" s="40"/>
      <c r="G44" s="225" t="s">
        <v>477</v>
      </c>
      <c r="H44" s="40"/>
      <c r="J44" s="40"/>
      <c r="K44" s="40"/>
      <c r="L44" s="40"/>
      <c r="R44" s="242"/>
      <c r="S44" s="2"/>
      <c r="T44" s="243"/>
    </row>
    <row r="45" spans="1:20" ht="14.5" thickBot="1" x14ac:dyDescent="0.35">
      <c r="A45" s="40"/>
      <c r="B45" s="40"/>
      <c r="C45" s="40"/>
      <c r="D45" s="40"/>
      <c r="E45" s="40"/>
      <c r="F45" s="40"/>
      <c r="G45" s="40"/>
      <c r="H45" s="40"/>
      <c r="J45" s="40"/>
      <c r="K45" s="40"/>
      <c r="L45" s="40"/>
      <c r="R45" s="242"/>
      <c r="S45" s="2"/>
      <c r="T45" s="243"/>
    </row>
    <row r="46" spans="1:20" x14ac:dyDescent="0.3">
      <c r="A46" s="117" t="s">
        <v>474</v>
      </c>
      <c r="B46" s="109" t="s">
        <v>467</v>
      </c>
      <c r="C46" s="279" t="s">
        <v>468</v>
      </c>
      <c r="D46" s="279"/>
      <c r="E46" s="279" t="s">
        <v>476</v>
      </c>
      <c r="F46" s="280"/>
      <c r="G46" s="40"/>
      <c r="H46" s="40"/>
      <c r="J46" s="40"/>
      <c r="K46" s="40"/>
      <c r="L46" s="40"/>
      <c r="R46" s="242"/>
      <c r="S46" s="2"/>
      <c r="T46" s="243"/>
    </row>
    <row r="47" spans="1:20" x14ac:dyDescent="0.3">
      <c r="A47" s="76">
        <v>100</v>
      </c>
      <c r="B47" s="40" t="s">
        <v>469</v>
      </c>
      <c r="C47" s="40">
        <v>405</v>
      </c>
      <c r="D47" s="40" t="s">
        <v>475</v>
      </c>
      <c r="E47" s="40">
        <f>C47*0.69*1000</f>
        <v>279450</v>
      </c>
      <c r="F47" s="77" t="s">
        <v>192</v>
      </c>
      <c r="G47" s="40"/>
      <c r="H47" s="40"/>
      <c r="J47" s="40"/>
      <c r="K47" s="40"/>
      <c r="L47" s="40"/>
      <c r="R47" s="242"/>
      <c r="S47" s="2"/>
      <c r="T47" s="243"/>
    </row>
    <row r="48" spans="1:20" x14ac:dyDescent="0.3">
      <c r="A48" s="76">
        <v>800</v>
      </c>
      <c r="B48" s="40" t="s">
        <v>470</v>
      </c>
      <c r="C48" s="40">
        <v>1030</v>
      </c>
      <c r="D48" s="40" t="s">
        <v>475</v>
      </c>
      <c r="E48" s="40">
        <f t="shared" ref="E48:E51" si="2">C48*0.69*1000</f>
        <v>710699.99999999988</v>
      </c>
      <c r="F48" s="77" t="s">
        <v>192</v>
      </c>
      <c r="G48" s="40"/>
      <c r="H48" s="40"/>
      <c r="J48" s="40"/>
      <c r="K48" s="40"/>
      <c r="L48" s="40"/>
      <c r="O48" s="32"/>
      <c r="R48" s="242"/>
      <c r="S48" s="2"/>
      <c r="T48" s="243"/>
    </row>
    <row r="49" spans="1:20" x14ac:dyDescent="0.3">
      <c r="A49" s="76">
        <v>1000</v>
      </c>
      <c r="B49" s="40" t="s">
        <v>471</v>
      </c>
      <c r="C49" s="40">
        <v>1250</v>
      </c>
      <c r="D49" s="40" t="s">
        <v>475</v>
      </c>
      <c r="E49" s="40">
        <f t="shared" si="2"/>
        <v>862499.99999999988</v>
      </c>
      <c r="F49" s="77" t="s">
        <v>192</v>
      </c>
      <c r="G49" s="40"/>
      <c r="H49" s="40"/>
      <c r="J49" s="40"/>
      <c r="K49" s="40"/>
      <c r="L49" s="40"/>
      <c r="R49" s="242"/>
      <c r="S49" s="2"/>
      <c r="T49" s="243"/>
    </row>
    <row r="50" spans="1:20" x14ac:dyDescent="0.3">
      <c r="A50" s="76">
        <v>3000</v>
      </c>
      <c r="B50" s="40" t="s">
        <v>472</v>
      </c>
      <c r="C50" s="40">
        <v>2330</v>
      </c>
      <c r="D50" s="40" t="s">
        <v>475</v>
      </c>
      <c r="E50" s="40">
        <f t="shared" si="2"/>
        <v>1607699.9999999998</v>
      </c>
      <c r="F50" s="77" t="s">
        <v>192</v>
      </c>
      <c r="G50" s="40"/>
      <c r="H50" s="40"/>
      <c r="J50" s="40"/>
      <c r="K50" s="40"/>
      <c r="L50" s="40"/>
      <c r="R50" s="242"/>
      <c r="S50" s="2"/>
      <c r="T50" s="243"/>
    </row>
    <row r="51" spans="1:20" x14ac:dyDescent="0.3">
      <c r="A51" s="76">
        <v>3500</v>
      </c>
      <c r="B51" s="40" t="s">
        <v>473</v>
      </c>
      <c r="C51" s="40">
        <v>3130</v>
      </c>
      <c r="D51" s="40" t="s">
        <v>475</v>
      </c>
      <c r="E51" s="40">
        <f t="shared" si="2"/>
        <v>2159700</v>
      </c>
      <c r="F51" s="77" t="s">
        <v>192</v>
      </c>
      <c r="G51" s="40"/>
      <c r="H51" s="40"/>
      <c r="J51" s="40"/>
      <c r="K51" s="40"/>
      <c r="L51" s="40"/>
      <c r="R51" s="242"/>
      <c r="S51" s="2"/>
      <c r="T51" s="243"/>
    </row>
    <row r="52" spans="1:20" ht="14.5" thickBot="1" x14ac:dyDescent="0.35">
      <c r="A52" s="253" t="s">
        <v>478</v>
      </c>
      <c r="B52" s="254"/>
      <c r="C52" s="254"/>
      <c r="D52" s="254"/>
      <c r="E52" s="254">
        <f>4500*500.61+282983</f>
        <v>2535728</v>
      </c>
      <c r="F52" s="79" t="s">
        <v>192</v>
      </c>
      <c r="G52" s="40"/>
      <c r="H52" s="40"/>
      <c r="J52" s="40"/>
      <c r="K52" s="40"/>
      <c r="L52" s="40"/>
      <c r="R52" s="242"/>
      <c r="S52" s="2"/>
      <c r="T52" s="243"/>
    </row>
    <row r="53" spans="1:20" x14ac:dyDescent="0.3">
      <c r="A53" s="40"/>
      <c r="B53" s="40"/>
      <c r="C53" s="40"/>
      <c r="D53" s="40"/>
      <c r="E53" s="40"/>
      <c r="F53" s="40"/>
      <c r="G53" s="40"/>
      <c r="H53" s="40"/>
      <c r="J53" s="40"/>
      <c r="K53" s="40"/>
      <c r="L53" s="40"/>
      <c r="R53" s="242"/>
      <c r="S53" s="2"/>
      <c r="T53" s="243"/>
    </row>
    <row r="54" spans="1:20" x14ac:dyDescent="0.3">
      <c r="A54" s="40"/>
      <c r="B54" s="40"/>
      <c r="C54" s="40"/>
      <c r="D54" s="40"/>
      <c r="E54" s="40"/>
      <c r="F54" s="40"/>
      <c r="G54" s="40"/>
      <c r="H54" s="40"/>
      <c r="J54" s="40"/>
      <c r="K54" s="40"/>
      <c r="L54" s="40"/>
      <c r="R54" s="242"/>
      <c r="S54" s="2"/>
      <c r="T54" s="243"/>
    </row>
    <row r="55" spans="1:20" x14ac:dyDescent="0.3">
      <c r="A55" s="40"/>
      <c r="B55" s="40"/>
      <c r="C55" s="40"/>
      <c r="D55" s="40"/>
      <c r="E55" s="40"/>
      <c r="F55" s="40"/>
      <c r="G55" s="40"/>
      <c r="H55" s="40"/>
      <c r="J55" s="40"/>
      <c r="K55" s="40"/>
      <c r="L55" s="40"/>
      <c r="S55" s="2"/>
      <c r="T55" s="243"/>
    </row>
    <row r="56" spans="1:20" x14ac:dyDescent="0.3">
      <c r="A56" s="40"/>
      <c r="B56" s="40"/>
      <c r="C56" s="40"/>
      <c r="D56" s="40"/>
      <c r="E56" s="40"/>
      <c r="F56" s="40"/>
      <c r="G56" s="40"/>
      <c r="H56" s="40"/>
      <c r="J56" s="40"/>
      <c r="K56" s="40"/>
      <c r="L56" s="40"/>
      <c r="T56" s="243"/>
    </row>
    <row r="57" spans="1:20" x14ac:dyDescent="0.3">
      <c r="A57" s="40"/>
      <c r="B57" s="40"/>
      <c r="C57" s="40"/>
      <c r="D57" s="40"/>
      <c r="E57" s="40"/>
      <c r="F57" s="40"/>
      <c r="G57" s="40"/>
      <c r="H57" s="40"/>
      <c r="J57" s="40"/>
      <c r="K57" s="40"/>
      <c r="L57" s="40"/>
    </row>
    <row r="58" spans="1:20" x14ac:dyDescent="0.3">
      <c r="A58" s="40"/>
      <c r="B58" s="40"/>
      <c r="C58" s="40"/>
      <c r="D58" s="40"/>
      <c r="E58" s="40"/>
      <c r="F58" s="40"/>
      <c r="G58" s="40"/>
      <c r="H58" s="40"/>
      <c r="J58" s="40"/>
      <c r="K58" s="40"/>
      <c r="L58" s="40"/>
    </row>
    <row r="59" spans="1:20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1:20" x14ac:dyDescent="0.3">
      <c r="G60" s="40"/>
      <c r="H60" s="40"/>
      <c r="I60" s="40"/>
      <c r="J60" s="40"/>
      <c r="K60" s="40"/>
      <c r="L60" s="40"/>
    </row>
    <row r="61" spans="1:20" ht="14.5" customHeight="1" x14ac:dyDescent="0.3">
      <c r="G61" s="40"/>
      <c r="H61" s="40"/>
      <c r="I61" s="40"/>
      <c r="J61" s="40"/>
      <c r="K61" s="40"/>
      <c r="L61" s="40"/>
    </row>
    <row r="62" spans="1:20" x14ac:dyDescent="0.3">
      <c r="G62" s="40"/>
      <c r="H62" s="40"/>
      <c r="I62" s="40"/>
      <c r="J62" s="40"/>
      <c r="K62" s="40"/>
      <c r="L62" s="40"/>
    </row>
    <row r="63" spans="1:20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20" x14ac:dyDescent="0.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2" x14ac:dyDescent="0.3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2" x14ac:dyDescent="0.3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</row>
  </sheetData>
  <mergeCells count="4">
    <mergeCell ref="E46:F46"/>
    <mergeCell ref="I9:K9"/>
    <mergeCell ref="J4:K4"/>
    <mergeCell ref="C46:D46"/>
  </mergeCells>
  <phoneticPr fontId="18" type="noConversion"/>
  <hyperlinks>
    <hyperlink ref="F4" r:id="rId1" display="https://www.nrel.gov/docs/fy23osti/84774.pdf" xr:uid="{6AA79312-BFDA-44BE-AA1C-F400A2E16AF7}"/>
    <hyperlink ref="D35" r:id="rId2" location=":~:text=Post%2Demployment%20benefits%20provisions,of%20CPI%20measured%20at%202.90%25." display="https://www.gov.uk/government/publications/dhsc-group-accounting-manual-2021-to-2022/department-of-health-and-social-care-group-accounting-manual-2021-to-2022-additional-guidance-version-1#:~:text=Post%2Demployment%20benefits%20provisions,of%20CPI%20measured%20at%202.90%25." xr:uid="{A078F14C-38DE-4FBB-BAE5-E9390562E582}"/>
    <hyperlink ref="G44" r:id="rId3" display="https://www.renewablesfirst.co.uk/home/renewable-energy-technologies/windpower/windpower-learning-centre/how-much-does-a-wind-turbine-cost/" xr:uid="{550A3D19-C770-4685-9BDA-D836565F043B}"/>
  </hyperlinks>
  <pageMargins left="0.7" right="0.7" top="0.75" bottom="0.75" header="0.3" footer="0.3"/>
  <pageSetup paperSize="9"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35"/>
  <sheetViews>
    <sheetView zoomScaleNormal="100" workbookViewId="0">
      <selection activeCell="F22" sqref="F22"/>
    </sheetView>
  </sheetViews>
  <sheetFormatPr defaultRowHeight="14" x14ac:dyDescent="0.3"/>
  <cols>
    <col min="1" max="1" width="19" bestFit="1" customWidth="1"/>
    <col min="2" max="2" width="10.6640625" bestFit="1" customWidth="1"/>
  </cols>
  <sheetData>
    <row r="9" spans="1:11" ht="14.5" thickBot="1" x14ac:dyDescent="0.3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x14ac:dyDescent="0.3">
      <c r="A10" s="117" t="s">
        <v>3</v>
      </c>
      <c r="B10" s="218">
        <v>4500000</v>
      </c>
      <c r="C10" s="110" t="s">
        <v>4</v>
      </c>
      <c r="D10" s="40"/>
      <c r="E10" s="40"/>
      <c r="F10" s="40"/>
      <c r="G10" s="40"/>
      <c r="H10" s="40"/>
      <c r="I10" s="40"/>
      <c r="J10" s="40"/>
      <c r="K10" s="40"/>
    </row>
    <row r="11" spans="1:11" x14ac:dyDescent="0.3">
      <c r="A11" s="76" t="s">
        <v>5</v>
      </c>
      <c r="B11" s="40">
        <v>11.78312</v>
      </c>
      <c r="C11" s="77" t="s">
        <v>6</v>
      </c>
      <c r="D11" s="40"/>
      <c r="E11" s="40"/>
      <c r="F11" s="40"/>
      <c r="G11" s="40"/>
      <c r="H11" s="40"/>
      <c r="I11" s="40"/>
      <c r="J11" s="40"/>
      <c r="K11" s="40"/>
    </row>
    <row r="12" spans="1:11" x14ac:dyDescent="0.3">
      <c r="A12" s="76" t="s">
        <v>7</v>
      </c>
      <c r="B12" s="40">
        <v>1.2250000000000001</v>
      </c>
      <c r="C12" s="77" t="s">
        <v>8</v>
      </c>
      <c r="D12" s="40"/>
      <c r="E12" s="40"/>
      <c r="F12" s="40"/>
      <c r="G12" s="40"/>
      <c r="H12" s="40"/>
      <c r="I12" s="40"/>
      <c r="J12" s="40"/>
      <c r="K12" s="40"/>
    </row>
    <row r="13" spans="1:11" x14ac:dyDescent="0.3">
      <c r="A13" s="76" t="s">
        <v>10</v>
      </c>
      <c r="B13" s="40">
        <v>0.44</v>
      </c>
      <c r="C13" s="77"/>
      <c r="D13" s="40" t="s">
        <v>384</v>
      </c>
      <c r="E13" s="40"/>
      <c r="F13" s="40"/>
      <c r="G13" s="40"/>
      <c r="H13" s="40"/>
      <c r="I13" s="40"/>
      <c r="J13" s="40"/>
      <c r="K13" s="40"/>
    </row>
    <row r="14" spans="1:11" x14ac:dyDescent="0.3">
      <c r="A14" s="76"/>
      <c r="B14" s="40"/>
      <c r="C14" s="77"/>
      <c r="D14" s="40"/>
      <c r="E14" s="40"/>
      <c r="F14" s="40"/>
      <c r="G14" s="40"/>
      <c r="H14" s="40"/>
      <c r="I14" s="40"/>
      <c r="J14" s="40"/>
      <c r="K14" s="40"/>
    </row>
    <row r="15" spans="1:11" x14ac:dyDescent="0.3">
      <c r="A15" s="76" t="s">
        <v>11</v>
      </c>
      <c r="B15" s="42">
        <f>SQRT(2*B10/(B12*PI()*B11^3*B13))</f>
        <v>56.998245148811002</v>
      </c>
      <c r="C15" s="77" t="s">
        <v>12</v>
      </c>
      <c r="D15" s="40"/>
      <c r="E15" s="40"/>
      <c r="F15" s="40"/>
      <c r="G15" s="40"/>
      <c r="H15" s="40"/>
      <c r="I15" s="40"/>
      <c r="J15" s="40"/>
      <c r="K15" s="40"/>
    </row>
    <row r="16" spans="1:11" x14ac:dyDescent="0.3">
      <c r="A16" s="219" t="s">
        <v>13</v>
      </c>
      <c r="B16" s="220">
        <v>63</v>
      </c>
      <c r="C16" s="221" t="s">
        <v>12</v>
      </c>
      <c r="D16" s="40"/>
      <c r="E16" s="40"/>
      <c r="F16" s="40"/>
      <c r="G16" s="40"/>
      <c r="H16" s="40"/>
      <c r="I16" s="40"/>
      <c r="J16" s="40"/>
      <c r="K16" s="40"/>
    </row>
    <row r="17" spans="1:11" x14ac:dyDescent="0.3">
      <c r="A17" s="76" t="s">
        <v>14</v>
      </c>
      <c r="B17" s="39">
        <f>B15/B16</f>
        <v>0.90473404998112705</v>
      </c>
      <c r="C17" s="77"/>
      <c r="D17" s="40"/>
      <c r="E17" s="40"/>
      <c r="F17" s="40"/>
      <c r="G17" s="40"/>
      <c r="H17" s="40"/>
      <c r="I17" s="40"/>
      <c r="J17" s="40"/>
      <c r="K17" s="40"/>
    </row>
    <row r="18" spans="1:11" x14ac:dyDescent="0.3">
      <c r="A18" s="76"/>
      <c r="B18" s="40"/>
      <c r="C18" s="77"/>
      <c r="D18" s="40"/>
      <c r="E18" s="40"/>
      <c r="F18" s="40"/>
      <c r="G18" s="40"/>
      <c r="H18" s="40"/>
      <c r="I18" s="40"/>
      <c r="J18" s="40"/>
      <c r="K18" s="40"/>
    </row>
    <row r="19" spans="1:11" x14ac:dyDescent="0.3">
      <c r="A19" s="219" t="s">
        <v>15</v>
      </c>
      <c r="B19" s="220">
        <v>1.5</v>
      </c>
      <c r="C19" s="221" t="s">
        <v>12</v>
      </c>
      <c r="D19" s="40"/>
      <c r="E19" s="40"/>
      <c r="F19" s="40"/>
      <c r="G19" s="40"/>
      <c r="H19" s="40"/>
      <c r="I19" s="40"/>
      <c r="J19" s="40"/>
      <c r="K19" s="40"/>
    </row>
    <row r="20" spans="1:11" x14ac:dyDescent="0.3">
      <c r="A20" s="76" t="s">
        <v>16</v>
      </c>
      <c r="B20" s="41">
        <f>B19*B17</f>
        <v>1.3571010749716905</v>
      </c>
      <c r="C20" s="77" t="s">
        <v>12</v>
      </c>
      <c r="D20" s="40"/>
      <c r="E20" s="40"/>
      <c r="F20" s="40"/>
      <c r="G20" s="40"/>
      <c r="H20" s="40"/>
      <c r="I20" s="40"/>
      <c r="J20" s="40"/>
      <c r="K20" s="40"/>
    </row>
    <row r="21" spans="1:11" x14ac:dyDescent="0.3">
      <c r="A21" s="76"/>
      <c r="B21" s="40"/>
      <c r="C21" s="77"/>
      <c r="D21" s="40"/>
      <c r="E21" s="40"/>
      <c r="F21" s="40"/>
      <c r="G21" s="40"/>
      <c r="H21" s="40"/>
      <c r="I21" s="40"/>
      <c r="J21" s="40"/>
      <c r="K21" s="40"/>
    </row>
    <row r="22" spans="1:11" x14ac:dyDescent="0.3">
      <c r="A22" s="219" t="s">
        <v>17</v>
      </c>
      <c r="B22" s="220">
        <f>B16-B19</f>
        <v>61.5</v>
      </c>
      <c r="C22" s="221" t="s">
        <v>12</v>
      </c>
      <c r="D22" s="40"/>
      <c r="E22" s="40"/>
      <c r="F22" s="40"/>
      <c r="G22" s="40"/>
      <c r="H22" s="40"/>
      <c r="I22" s="40"/>
      <c r="J22" s="40"/>
      <c r="K22" s="40"/>
    </row>
    <row r="23" spans="1:11" ht="14.5" thickBot="1" x14ac:dyDescent="0.35">
      <c r="A23" s="78" t="s">
        <v>18</v>
      </c>
      <c r="B23" s="56">
        <f>B22*B17</f>
        <v>55.641144073839314</v>
      </c>
      <c r="C23" s="79" t="s">
        <v>12</v>
      </c>
      <c r="D23" s="40"/>
      <c r="E23" s="40"/>
      <c r="F23" s="40"/>
      <c r="G23" s="40"/>
      <c r="H23" s="40"/>
      <c r="I23" s="40"/>
      <c r="J23" s="40"/>
      <c r="K23" s="40"/>
    </row>
    <row r="24" spans="1:11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x14ac:dyDescent="0.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4"/>
  <sheetViews>
    <sheetView workbookViewId="0">
      <selection activeCell="E33" sqref="E33"/>
    </sheetView>
  </sheetViews>
  <sheetFormatPr defaultRowHeight="14" x14ac:dyDescent="0.3"/>
  <cols>
    <col min="5" max="5" width="15.58203125" bestFit="1" customWidth="1"/>
  </cols>
  <sheetData>
    <row r="1" spans="1:7" x14ac:dyDescent="0.3">
      <c r="A1" s="154" t="s">
        <v>0</v>
      </c>
      <c r="B1" s="154" t="s">
        <v>1</v>
      </c>
      <c r="C1" s="154" t="s">
        <v>2</v>
      </c>
      <c r="D1" s="40"/>
      <c r="E1" s="40"/>
      <c r="F1" s="40"/>
      <c r="G1" s="40"/>
    </row>
    <row r="2" spans="1:7" x14ac:dyDescent="0.3">
      <c r="A2" s="40">
        <v>1</v>
      </c>
      <c r="B2" s="40">
        <v>5.2612600000000002E-3</v>
      </c>
      <c r="C2" s="40">
        <v>7.8909400000000005E-2</v>
      </c>
      <c r="D2" s="40"/>
      <c r="E2" s="40" t="s">
        <v>9</v>
      </c>
      <c r="F2" s="40">
        <f>MAX(B2:B163)</f>
        <v>0.488923</v>
      </c>
      <c r="G2" s="40"/>
    </row>
    <row r="3" spans="1:7" x14ac:dyDescent="0.3">
      <c r="A3" s="40">
        <v>1.1000000000000001</v>
      </c>
      <c r="B3" s="40">
        <v>5.9703500000000001E-3</v>
      </c>
      <c r="C3" s="40">
        <v>8.1710500000000005E-2</v>
      </c>
      <c r="D3" s="40"/>
      <c r="E3" s="40" t="s">
        <v>19</v>
      </c>
      <c r="F3" s="40">
        <f>8.1</f>
        <v>8.1</v>
      </c>
      <c r="G3" s="40"/>
    </row>
    <row r="4" spans="1:7" x14ac:dyDescent="0.3">
      <c r="A4" s="40">
        <v>1.2</v>
      </c>
      <c r="B4" s="40">
        <v>6.7232100000000003E-3</v>
      </c>
      <c r="C4" s="40">
        <v>8.4661799999999995E-2</v>
      </c>
      <c r="D4" s="40"/>
      <c r="E4" s="40"/>
      <c r="F4" s="40"/>
      <c r="G4" s="40"/>
    </row>
    <row r="5" spans="1:7" x14ac:dyDescent="0.3">
      <c r="A5" s="40">
        <v>1.3</v>
      </c>
      <c r="B5" s="40">
        <v>7.5297200000000002E-3</v>
      </c>
      <c r="C5" s="40">
        <v>8.7736400000000006E-2</v>
      </c>
      <c r="D5" s="40"/>
      <c r="E5" s="40"/>
      <c r="F5" s="40"/>
      <c r="G5" s="40"/>
    </row>
    <row r="6" spans="1:7" x14ac:dyDescent="0.3">
      <c r="A6" s="40">
        <v>1.4</v>
      </c>
      <c r="B6" s="40">
        <v>8.4312899999999993E-3</v>
      </c>
      <c r="C6" s="40">
        <v>9.09972E-2</v>
      </c>
      <c r="D6" s="40"/>
      <c r="E6" s="40"/>
      <c r="F6" s="40"/>
      <c r="G6" s="40"/>
    </row>
    <row r="7" spans="1:7" x14ac:dyDescent="0.3">
      <c r="A7" s="40">
        <v>1.5</v>
      </c>
      <c r="B7" s="40">
        <v>9.5484899999999998E-3</v>
      </c>
      <c r="C7" s="40">
        <v>9.4575300000000001E-2</v>
      </c>
      <c r="D7" s="40"/>
      <c r="E7" s="40"/>
      <c r="F7" s="40"/>
      <c r="G7" s="40"/>
    </row>
    <row r="8" spans="1:7" x14ac:dyDescent="0.3">
      <c r="A8" s="40">
        <v>1.6</v>
      </c>
      <c r="B8" s="40">
        <v>1.10414E-2</v>
      </c>
      <c r="C8" s="40">
        <v>9.8634700000000006E-2</v>
      </c>
      <c r="D8" s="40"/>
      <c r="E8" s="40"/>
      <c r="F8" s="40"/>
      <c r="G8" s="40"/>
    </row>
    <row r="9" spans="1:7" x14ac:dyDescent="0.3">
      <c r="A9" s="40">
        <v>1.7</v>
      </c>
      <c r="B9" s="40">
        <v>1.3060199999999999E-2</v>
      </c>
      <c r="C9" s="40">
        <v>0.103329</v>
      </c>
      <c r="D9" s="40"/>
      <c r="E9" s="40"/>
      <c r="F9" s="40"/>
      <c r="G9" s="40"/>
    </row>
    <row r="10" spans="1:7" x14ac:dyDescent="0.3">
      <c r="A10" s="40">
        <v>1.8</v>
      </c>
      <c r="B10" s="40">
        <v>1.5698799999999999E-2</v>
      </c>
      <c r="C10" s="40">
        <v>0.108776</v>
      </c>
      <c r="D10" s="40"/>
      <c r="E10" s="40"/>
      <c r="F10" s="40"/>
      <c r="G10" s="40"/>
    </row>
    <row r="11" spans="1:7" x14ac:dyDescent="0.3">
      <c r="A11" s="40">
        <v>1.9</v>
      </c>
      <c r="B11" s="40">
        <v>1.8998999999999999E-2</v>
      </c>
      <c r="C11" s="40">
        <v>0.115032</v>
      </c>
      <c r="D11" s="40"/>
      <c r="E11" s="40"/>
      <c r="F11" s="40"/>
      <c r="G11" s="40"/>
    </row>
    <row r="12" spans="1:7" x14ac:dyDescent="0.3">
      <c r="A12" s="40">
        <v>2</v>
      </c>
      <c r="B12" s="40">
        <v>2.29497E-2</v>
      </c>
      <c r="C12" s="40">
        <v>0.12206400000000001</v>
      </c>
      <c r="D12" s="40"/>
      <c r="E12" s="40"/>
      <c r="F12" s="40"/>
      <c r="G12" s="40"/>
    </row>
    <row r="13" spans="1:7" x14ac:dyDescent="0.3">
      <c r="A13" s="40">
        <v>2.1</v>
      </c>
      <c r="B13" s="40">
        <v>2.7627100000000002E-2</v>
      </c>
      <c r="C13" s="40">
        <v>0.12995100000000001</v>
      </c>
      <c r="D13" s="40"/>
      <c r="E13" s="40"/>
      <c r="F13" s="40"/>
      <c r="G13" s="40"/>
    </row>
    <row r="14" spans="1:7" x14ac:dyDescent="0.3">
      <c r="A14" s="40">
        <v>2.2000000000000002</v>
      </c>
      <c r="B14" s="40">
        <v>3.3129100000000002E-2</v>
      </c>
      <c r="C14" s="40">
        <v>0.13872399999999999</v>
      </c>
      <c r="D14" s="40"/>
      <c r="E14" s="40"/>
      <c r="F14" s="40"/>
      <c r="G14" s="40"/>
    </row>
    <row r="15" spans="1:7" x14ac:dyDescent="0.3">
      <c r="A15" s="40">
        <v>2.2999999999999998</v>
      </c>
      <c r="B15" s="40">
        <v>3.9562300000000002E-2</v>
      </c>
      <c r="C15" s="40">
        <v>0.14844199999999999</v>
      </c>
      <c r="D15" s="40"/>
      <c r="E15" s="40"/>
      <c r="F15" s="40"/>
      <c r="G15" s="40"/>
    </row>
    <row r="16" spans="1:7" x14ac:dyDescent="0.3">
      <c r="A16" s="40">
        <v>2.4</v>
      </c>
      <c r="B16" s="40">
        <v>4.6881800000000001E-2</v>
      </c>
      <c r="C16" s="40">
        <v>0.15898899999999999</v>
      </c>
      <c r="D16" s="40"/>
      <c r="E16" s="40"/>
      <c r="F16" s="40"/>
      <c r="G16" s="40"/>
    </row>
    <row r="17" spans="1:7" x14ac:dyDescent="0.3">
      <c r="A17" s="40">
        <v>2.5</v>
      </c>
      <c r="B17" s="40">
        <v>5.4889100000000003E-2</v>
      </c>
      <c r="C17" s="40">
        <v>0.17013500000000001</v>
      </c>
      <c r="D17" s="40"/>
      <c r="E17" s="40"/>
      <c r="F17" s="40"/>
      <c r="G17" s="40"/>
    </row>
    <row r="18" spans="1:7" x14ac:dyDescent="0.3">
      <c r="A18" s="40">
        <v>2.6</v>
      </c>
      <c r="B18" s="40">
        <v>6.3545299999999999E-2</v>
      </c>
      <c r="C18" s="40">
        <v>0.18178</v>
      </c>
      <c r="D18" s="40"/>
      <c r="E18" s="40"/>
      <c r="F18" s="40"/>
      <c r="G18" s="40"/>
    </row>
    <row r="19" spans="1:7" x14ac:dyDescent="0.3">
      <c r="A19" s="40">
        <v>2.7</v>
      </c>
      <c r="B19" s="40">
        <v>7.2629299999999994E-2</v>
      </c>
      <c r="C19" s="40">
        <v>0.19367699999999999</v>
      </c>
      <c r="D19" s="40"/>
      <c r="E19" s="40"/>
      <c r="F19" s="40"/>
      <c r="G19" s="40"/>
    </row>
    <row r="20" spans="1:7" x14ac:dyDescent="0.3">
      <c r="A20" s="40">
        <v>2.8</v>
      </c>
      <c r="B20" s="40">
        <v>8.2089999999999996E-2</v>
      </c>
      <c r="C20" s="40">
        <v>0.205761</v>
      </c>
      <c r="D20" s="40"/>
      <c r="E20" s="40"/>
      <c r="F20" s="40"/>
      <c r="G20" s="40"/>
    </row>
    <row r="21" spans="1:7" x14ac:dyDescent="0.3">
      <c r="A21" s="40">
        <v>2.9</v>
      </c>
      <c r="B21" s="40">
        <v>9.1826599999999994E-2</v>
      </c>
      <c r="C21" s="40">
        <v>0.21795</v>
      </c>
      <c r="D21" s="40"/>
      <c r="E21" s="40"/>
      <c r="F21" s="40"/>
      <c r="G21" s="40"/>
    </row>
    <row r="22" spans="1:7" x14ac:dyDescent="0.3">
      <c r="A22" s="40">
        <v>3</v>
      </c>
      <c r="B22" s="40">
        <v>0.101738</v>
      </c>
      <c r="C22" s="40">
        <v>0.23016500000000001</v>
      </c>
      <c r="D22" s="40"/>
      <c r="E22" s="40"/>
      <c r="F22" s="40"/>
      <c r="G22" s="40"/>
    </row>
    <row r="23" spans="1:7" x14ac:dyDescent="0.3">
      <c r="A23" s="40">
        <v>3.1</v>
      </c>
      <c r="B23" s="40">
        <v>0.111862</v>
      </c>
      <c r="C23" s="40">
        <v>0.242455</v>
      </c>
      <c r="D23" s="40"/>
      <c r="E23" s="40"/>
      <c r="F23" s="40"/>
      <c r="G23" s="40"/>
    </row>
    <row r="24" spans="1:7" x14ac:dyDescent="0.3">
      <c r="A24" s="40">
        <v>3.2</v>
      </c>
      <c r="B24" s="40">
        <v>0.122112</v>
      </c>
      <c r="C24" s="40">
        <v>0.25475599999999998</v>
      </c>
      <c r="D24" s="40"/>
      <c r="E24" s="40"/>
      <c r="F24" s="40"/>
      <c r="G24" s="40"/>
    </row>
    <row r="25" spans="1:7" x14ac:dyDescent="0.3">
      <c r="A25" s="40">
        <v>3.3</v>
      </c>
      <c r="B25" s="40">
        <v>0.13256200000000001</v>
      </c>
      <c r="C25" s="40">
        <v>0.267154</v>
      </c>
      <c r="D25" s="40"/>
      <c r="E25" s="40"/>
      <c r="F25" s="40"/>
      <c r="G25" s="40"/>
    </row>
    <row r="26" spans="1:7" x14ac:dyDescent="0.3">
      <c r="A26" s="40">
        <v>3.4</v>
      </c>
      <c r="B26" s="40">
        <v>0.14337800000000001</v>
      </c>
      <c r="C26" s="40">
        <v>0.27984799999999999</v>
      </c>
      <c r="D26" s="40"/>
      <c r="E26" s="40"/>
      <c r="F26" s="40"/>
      <c r="G26" s="40"/>
    </row>
    <row r="27" spans="1:7" x14ac:dyDescent="0.3">
      <c r="A27" s="40">
        <v>3.5</v>
      </c>
      <c r="B27" s="40">
        <v>0.15459000000000001</v>
      </c>
      <c r="C27" s="40">
        <v>0.292798</v>
      </c>
      <c r="D27" s="40"/>
      <c r="E27" s="40"/>
      <c r="F27" s="40"/>
      <c r="G27" s="40"/>
    </row>
    <row r="28" spans="1:7" x14ac:dyDescent="0.3">
      <c r="A28" s="40">
        <v>3.6</v>
      </c>
      <c r="B28" s="40">
        <v>0.16614399999999999</v>
      </c>
      <c r="C28" s="40">
        <v>0.30595</v>
      </c>
      <c r="D28" s="40"/>
      <c r="E28" s="40"/>
      <c r="F28" s="40"/>
      <c r="G28" s="40"/>
    </row>
    <row r="29" spans="1:7" x14ac:dyDescent="0.3">
      <c r="A29" s="40">
        <v>3.7</v>
      </c>
      <c r="B29" s="40">
        <v>0.17793400000000001</v>
      </c>
      <c r="C29" s="40">
        <v>0.31916099999999997</v>
      </c>
      <c r="D29" s="40"/>
      <c r="E29" s="40"/>
      <c r="F29" s="40"/>
      <c r="G29" s="40"/>
    </row>
    <row r="30" spans="1:7" x14ac:dyDescent="0.3">
      <c r="A30" s="40">
        <v>3.8</v>
      </c>
      <c r="B30" s="40">
        <v>0.18995799999999999</v>
      </c>
      <c r="C30" s="40">
        <v>0.33239299999999999</v>
      </c>
      <c r="D30" s="40"/>
      <c r="E30" s="40"/>
      <c r="F30" s="40"/>
      <c r="G30" s="40"/>
    </row>
    <row r="31" spans="1:7" x14ac:dyDescent="0.3">
      <c r="A31" s="40">
        <v>3.9</v>
      </c>
      <c r="B31" s="40">
        <v>0.202268</v>
      </c>
      <c r="C31" s="40">
        <v>0.34569800000000001</v>
      </c>
      <c r="D31" s="40"/>
      <c r="E31" s="40"/>
      <c r="F31" s="40"/>
      <c r="G31" s="40"/>
    </row>
    <row r="32" spans="1:7" x14ac:dyDescent="0.3">
      <c r="A32" s="40">
        <v>4</v>
      </c>
      <c r="B32" s="40">
        <v>0.21495900000000001</v>
      </c>
      <c r="C32" s="40">
        <v>0.35915399999999997</v>
      </c>
      <c r="D32" s="40"/>
      <c r="E32" s="40"/>
      <c r="F32" s="40"/>
      <c r="G32" s="40"/>
    </row>
    <row r="33" spans="1:7" x14ac:dyDescent="0.3">
      <c r="A33" s="40">
        <v>4.0999999999999996</v>
      </c>
      <c r="B33" s="40">
        <v>0.227992</v>
      </c>
      <c r="C33" s="40">
        <v>0.37262699999999999</v>
      </c>
      <c r="D33" s="40"/>
      <c r="E33" s="40"/>
      <c r="F33" s="40"/>
      <c r="G33" s="40"/>
    </row>
    <row r="34" spans="1:7" x14ac:dyDescent="0.3">
      <c r="A34" s="40">
        <v>4.2</v>
      </c>
      <c r="B34" s="40">
        <v>0.24148500000000001</v>
      </c>
      <c r="C34" s="40">
        <v>0.38625199999999998</v>
      </c>
      <c r="D34" s="40"/>
      <c r="E34" s="40"/>
      <c r="F34" s="40"/>
      <c r="G34" s="40"/>
    </row>
    <row r="35" spans="1:7" x14ac:dyDescent="0.3">
      <c r="A35" s="40">
        <v>4.3</v>
      </c>
      <c r="B35" s="40">
        <v>0.25525399999999998</v>
      </c>
      <c r="C35" s="40">
        <v>0.39989799999999998</v>
      </c>
      <c r="D35" s="40"/>
      <c r="E35" s="40"/>
      <c r="F35" s="40"/>
      <c r="G35" s="40"/>
    </row>
    <row r="36" spans="1:7" x14ac:dyDescent="0.3">
      <c r="A36" s="40">
        <v>4.4000000000000004</v>
      </c>
      <c r="B36" s="40">
        <v>0.26937499999999998</v>
      </c>
      <c r="C36" s="40">
        <v>0.41370200000000001</v>
      </c>
      <c r="D36" s="40"/>
      <c r="E36" s="40"/>
      <c r="F36" s="40"/>
      <c r="G36" s="40"/>
    </row>
    <row r="37" spans="1:7" x14ac:dyDescent="0.3">
      <c r="A37" s="40">
        <v>4.5</v>
      </c>
      <c r="B37" s="40">
        <v>0.28376499999999999</v>
      </c>
      <c r="C37" s="40">
        <v>0.42773099999999997</v>
      </c>
      <c r="D37" s="40"/>
      <c r="E37" s="40"/>
      <c r="F37" s="40"/>
      <c r="G37" s="40"/>
    </row>
    <row r="38" spans="1:7" x14ac:dyDescent="0.3">
      <c r="A38" s="40">
        <v>4.5999999999999996</v>
      </c>
      <c r="B38" s="40">
        <v>0.29807099999999997</v>
      </c>
      <c r="C38" s="40">
        <v>0.44188100000000002</v>
      </c>
      <c r="D38" s="40"/>
      <c r="E38" s="40"/>
      <c r="F38" s="40"/>
      <c r="G38" s="40"/>
    </row>
    <row r="39" spans="1:7" x14ac:dyDescent="0.3">
      <c r="A39" s="40">
        <v>4.7</v>
      </c>
      <c r="B39" s="40">
        <v>0.31236999999999998</v>
      </c>
      <c r="C39" s="40">
        <v>0.45669500000000002</v>
      </c>
      <c r="D39" s="40"/>
      <c r="E39" s="40"/>
      <c r="F39" s="40"/>
      <c r="G39" s="40"/>
    </row>
    <row r="40" spans="1:7" x14ac:dyDescent="0.3">
      <c r="A40" s="40">
        <v>4.8</v>
      </c>
      <c r="B40" s="40">
        <v>0.326125</v>
      </c>
      <c r="C40" s="40">
        <v>0.47223599999999999</v>
      </c>
      <c r="D40" s="40"/>
      <c r="E40" s="40"/>
      <c r="F40" s="40"/>
      <c r="G40" s="40"/>
    </row>
    <row r="41" spans="1:7" x14ac:dyDescent="0.3">
      <c r="A41" s="40">
        <v>4.9000000000000004</v>
      </c>
      <c r="B41" s="40">
        <v>0.34029700000000002</v>
      </c>
      <c r="C41" s="40">
        <v>0.48966799999999999</v>
      </c>
      <c r="D41" s="40"/>
      <c r="E41" s="40"/>
      <c r="F41" s="40"/>
      <c r="G41" s="40"/>
    </row>
    <row r="42" spans="1:7" x14ac:dyDescent="0.3">
      <c r="A42" s="40">
        <v>5</v>
      </c>
      <c r="B42" s="40">
        <v>0.35500199999999998</v>
      </c>
      <c r="C42" s="40">
        <v>0.50892199999999999</v>
      </c>
      <c r="D42" s="40"/>
      <c r="E42" s="40"/>
      <c r="F42" s="40"/>
      <c r="G42" s="40"/>
    </row>
    <row r="43" spans="1:7" x14ac:dyDescent="0.3">
      <c r="A43" s="40">
        <v>5.0999999999999996</v>
      </c>
      <c r="B43" s="40">
        <v>0.36887399999999998</v>
      </c>
      <c r="C43" s="40">
        <v>0.52801100000000001</v>
      </c>
      <c r="D43" s="40"/>
      <c r="E43" s="40"/>
      <c r="F43" s="40"/>
      <c r="G43" s="40"/>
    </row>
    <row r="44" spans="1:7" x14ac:dyDescent="0.3">
      <c r="A44" s="40">
        <v>5.2</v>
      </c>
      <c r="B44" s="40">
        <v>0.382328</v>
      </c>
      <c r="C44" s="40">
        <v>0.54691100000000004</v>
      </c>
      <c r="D44" s="40"/>
      <c r="E44" s="40"/>
      <c r="F44" s="40"/>
      <c r="G44" s="40"/>
    </row>
    <row r="45" spans="1:7" x14ac:dyDescent="0.3">
      <c r="A45" s="40">
        <v>5.3</v>
      </c>
      <c r="B45" s="40">
        <v>0.39364100000000002</v>
      </c>
      <c r="C45" s="40">
        <v>0.56354499999999996</v>
      </c>
      <c r="D45" s="40"/>
      <c r="E45" s="40"/>
      <c r="F45" s="40"/>
      <c r="G45" s="40"/>
    </row>
    <row r="46" spans="1:7" x14ac:dyDescent="0.3">
      <c r="A46" s="40">
        <v>5.4</v>
      </c>
      <c r="B46" s="40">
        <v>0.40389700000000001</v>
      </c>
      <c r="C46" s="40">
        <v>0.57921100000000003</v>
      </c>
      <c r="D46" s="40"/>
      <c r="E46" s="40"/>
      <c r="F46" s="40"/>
      <c r="G46" s="40"/>
    </row>
    <row r="47" spans="1:7" x14ac:dyDescent="0.3">
      <c r="A47" s="40">
        <v>5.5</v>
      </c>
      <c r="B47" s="40">
        <v>0.41188799999999998</v>
      </c>
      <c r="C47" s="40">
        <v>0.59267899999999996</v>
      </c>
      <c r="D47" s="40"/>
      <c r="E47" s="40"/>
      <c r="F47" s="40"/>
      <c r="G47" s="40"/>
    </row>
    <row r="48" spans="1:7" x14ac:dyDescent="0.3">
      <c r="A48" s="40">
        <v>5.6</v>
      </c>
      <c r="B48" s="40">
        <v>0.41883999999999999</v>
      </c>
      <c r="C48" s="40">
        <v>0.60515699999999994</v>
      </c>
      <c r="D48" s="40"/>
      <c r="E48" s="40"/>
      <c r="F48" s="40"/>
      <c r="G48" s="40"/>
    </row>
    <row r="49" spans="1:7" x14ac:dyDescent="0.3">
      <c r="A49" s="40">
        <v>5.7</v>
      </c>
      <c r="B49" s="40">
        <v>0.42499700000000001</v>
      </c>
      <c r="C49" s="40">
        <v>0.61699199999999998</v>
      </c>
      <c r="D49" s="40"/>
      <c r="E49" s="40"/>
      <c r="F49" s="40"/>
      <c r="G49" s="40"/>
    </row>
    <row r="50" spans="1:7" x14ac:dyDescent="0.3">
      <c r="A50" s="40">
        <v>5.8</v>
      </c>
      <c r="B50" s="40">
        <v>0.43066599999999999</v>
      </c>
      <c r="C50" s="40">
        <v>0.62840300000000004</v>
      </c>
      <c r="D50" s="40"/>
      <c r="E50" s="40"/>
      <c r="F50" s="40"/>
      <c r="G50" s="40"/>
    </row>
    <row r="51" spans="1:7" x14ac:dyDescent="0.3">
      <c r="A51" s="40">
        <v>5.9</v>
      </c>
      <c r="B51" s="40">
        <v>0.43608200000000003</v>
      </c>
      <c r="C51" s="40">
        <v>0.63953000000000004</v>
      </c>
      <c r="D51" s="40"/>
      <c r="E51" s="40"/>
      <c r="F51" s="40"/>
      <c r="G51" s="40"/>
    </row>
    <row r="52" spans="1:7" x14ac:dyDescent="0.3">
      <c r="A52" s="40">
        <v>6</v>
      </c>
      <c r="B52" s="40">
        <v>0.44122800000000001</v>
      </c>
      <c r="C52" s="40">
        <v>0.65034800000000004</v>
      </c>
      <c r="D52" s="40"/>
      <c r="E52" s="40"/>
      <c r="F52" s="40"/>
      <c r="G52" s="40"/>
    </row>
    <row r="53" spans="1:7" x14ac:dyDescent="0.3">
      <c r="A53" s="40">
        <v>6.1</v>
      </c>
      <c r="B53" s="40">
        <v>0.44605499999999998</v>
      </c>
      <c r="C53" s="40">
        <v>0.66081800000000002</v>
      </c>
      <c r="D53" s="40"/>
      <c r="E53" s="40"/>
      <c r="F53" s="40"/>
      <c r="G53" s="40"/>
    </row>
    <row r="54" spans="1:7" x14ac:dyDescent="0.3">
      <c r="A54" s="40">
        <v>6.2</v>
      </c>
      <c r="B54" s="40">
        <v>0.45062200000000002</v>
      </c>
      <c r="C54" s="40">
        <v>0.67099200000000003</v>
      </c>
      <c r="D54" s="40"/>
      <c r="E54" s="40"/>
      <c r="F54" s="40"/>
      <c r="G54" s="40"/>
    </row>
    <row r="55" spans="1:7" x14ac:dyDescent="0.3">
      <c r="A55" s="40">
        <v>6.3</v>
      </c>
      <c r="B55" s="40">
        <v>0.45490999999999998</v>
      </c>
      <c r="C55" s="40">
        <v>0.680894</v>
      </c>
      <c r="D55" s="40"/>
      <c r="E55" s="40"/>
      <c r="F55" s="40"/>
      <c r="G55" s="40"/>
    </row>
    <row r="56" spans="1:7" x14ac:dyDescent="0.3">
      <c r="A56" s="40">
        <v>6.4</v>
      </c>
      <c r="B56" s="40">
        <v>0.45894099999999999</v>
      </c>
      <c r="C56" s="40">
        <v>0.690415</v>
      </c>
      <c r="D56" s="40"/>
      <c r="E56" s="40"/>
      <c r="F56" s="40"/>
      <c r="G56" s="40"/>
    </row>
    <row r="57" spans="1:7" x14ac:dyDescent="0.3">
      <c r="A57" s="40">
        <v>6.5</v>
      </c>
      <c r="B57" s="40">
        <v>0.46284199999999998</v>
      </c>
      <c r="C57" s="40">
        <v>0.69961300000000004</v>
      </c>
      <c r="D57" s="40"/>
      <c r="E57" s="40"/>
      <c r="F57" s="40"/>
      <c r="G57" s="40"/>
    </row>
    <row r="58" spans="1:7" x14ac:dyDescent="0.3">
      <c r="A58" s="40">
        <v>6.6</v>
      </c>
      <c r="B58" s="40">
        <v>0.46658100000000002</v>
      </c>
      <c r="C58" s="40">
        <v>0.70839799999999997</v>
      </c>
      <c r="D58" s="40"/>
      <c r="E58" s="40"/>
      <c r="F58" s="40"/>
      <c r="G58" s="40"/>
    </row>
    <row r="59" spans="1:7" x14ac:dyDescent="0.3">
      <c r="A59" s="40">
        <v>6.7</v>
      </c>
      <c r="B59" s="40">
        <v>0.47014899999999998</v>
      </c>
      <c r="C59" s="40">
        <v>0.71700200000000003</v>
      </c>
      <c r="D59" s="40"/>
      <c r="E59" s="40"/>
      <c r="F59" s="40"/>
      <c r="G59" s="40"/>
    </row>
    <row r="60" spans="1:7" x14ac:dyDescent="0.3">
      <c r="A60" s="40">
        <v>6.8</v>
      </c>
      <c r="B60" s="40">
        <v>0.473522</v>
      </c>
      <c r="C60" s="40">
        <v>0.72545499999999996</v>
      </c>
      <c r="D60" s="40"/>
      <c r="E60" s="40"/>
      <c r="F60" s="40"/>
      <c r="G60" s="40"/>
    </row>
    <row r="61" spans="1:7" x14ac:dyDescent="0.3">
      <c r="A61" s="40">
        <v>6.9</v>
      </c>
      <c r="B61" s="40">
        <v>0.476657</v>
      </c>
      <c r="C61" s="40">
        <v>0.733765</v>
      </c>
      <c r="D61" s="40"/>
      <c r="E61" s="40"/>
      <c r="F61" s="40"/>
      <c r="G61" s="40"/>
    </row>
    <row r="62" spans="1:7" x14ac:dyDescent="0.3">
      <c r="A62" s="40">
        <v>7</v>
      </c>
      <c r="B62" s="40">
        <v>0.479433</v>
      </c>
      <c r="C62" s="40">
        <v>0.74184799999999995</v>
      </c>
      <c r="D62" s="40"/>
      <c r="E62" s="40"/>
      <c r="F62" s="40"/>
      <c r="G62" s="40"/>
    </row>
    <row r="63" spans="1:7" x14ac:dyDescent="0.3">
      <c r="A63" s="40">
        <v>7.1</v>
      </c>
      <c r="B63" s="40">
        <v>0.48164600000000002</v>
      </c>
      <c r="C63" s="40">
        <v>0.74950399999999995</v>
      </c>
      <c r="D63" s="40"/>
      <c r="E63" s="40"/>
      <c r="F63" s="40"/>
      <c r="G63" s="40"/>
    </row>
    <row r="64" spans="1:7" x14ac:dyDescent="0.3">
      <c r="A64" s="40">
        <v>7.2</v>
      </c>
      <c r="B64" s="40">
        <v>0.483265</v>
      </c>
      <c r="C64" s="40">
        <v>0.75678800000000002</v>
      </c>
      <c r="D64" s="40"/>
      <c r="E64" s="40"/>
      <c r="F64" s="40"/>
      <c r="G64" s="40"/>
    </row>
    <row r="65" spans="1:7" x14ac:dyDescent="0.3">
      <c r="A65" s="40">
        <v>7.3</v>
      </c>
      <c r="B65" s="40">
        <v>0.48453600000000002</v>
      </c>
      <c r="C65" s="40">
        <v>0.76379200000000003</v>
      </c>
      <c r="D65" s="40"/>
      <c r="E65" s="40"/>
      <c r="F65" s="40"/>
      <c r="G65" s="40"/>
    </row>
    <row r="66" spans="1:7" x14ac:dyDescent="0.3">
      <c r="A66" s="40">
        <v>7.4</v>
      </c>
      <c r="B66" s="40">
        <v>0.48562699999999998</v>
      </c>
      <c r="C66" s="40">
        <v>0.77066599999999996</v>
      </c>
      <c r="D66" s="40"/>
      <c r="E66" s="40"/>
      <c r="F66" s="40"/>
      <c r="G66" s="40"/>
    </row>
    <row r="67" spans="1:7" x14ac:dyDescent="0.3">
      <c r="A67" s="40">
        <v>7.5</v>
      </c>
      <c r="B67" s="40">
        <v>0.48653200000000002</v>
      </c>
      <c r="C67" s="40">
        <v>0.77739000000000003</v>
      </c>
      <c r="D67" s="40"/>
      <c r="E67" s="40"/>
      <c r="F67" s="40"/>
      <c r="G67" s="40"/>
    </row>
    <row r="68" spans="1:7" x14ac:dyDescent="0.3">
      <c r="A68" s="40">
        <v>7.6</v>
      </c>
      <c r="B68" s="40">
        <v>0.48729899999999998</v>
      </c>
      <c r="C68" s="40">
        <v>0.78395999999999999</v>
      </c>
      <c r="D68" s="40"/>
      <c r="E68" s="40"/>
      <c r="F68" s="40"/>
      <c r="G68" s="40"/>
    </row>
    <row r="69" spans="1:7" x14ac:dyDescent="0.3">
      <c r="A69" s="40">
        <v>7.7</v>
      </c>
      <c r="B69" s="40">
        <v>0.48789700000000003</v>
      </c>
      <c r="C69" s="40">
        <v>0.79032899999999995</v>
      </c>
      <c r="D69" s="40"/>
      <c r="E69" s="40"/>
      <c r="F69" s="40"/>
      <c r="G69" s="40"/>
    </row>
    <row r="70" spans="1:7" x14ac:dyDescent="0.3">
      <c r="A70" s="40">
        <v>7.8</v>
      </c>
      <c r="B70" s="40">
        <v>0.48836600000000002</v>
      </c>
      <c r="C70" s="40">
        <v>0.79654700000000001</v>
      </c>
      <c r="D70" s="40"/>
      <c r="E70" s="40"/>
      <c r="F70" s="40"/>
      <c r="G70" s="40"/>
    </row>
    <row r="71" spans="1:7" x14ac:dyDescent="0.3">
      <c r="A71" s="40">
        <v>7.9</v>
      </c>
      <c r="B71" s="40">
        <v>0.48869000000000001</v>
      </c>
      <c r="C71" s="40">
        <v>0.80268300000000004</v>
      </c>
      <c r="D71" s="40"/>
      <c r="E71" s="40"/>
      <c r="F71" s="40"/>
      <c r="G71" s="40"/>
    </row>
    <row r="72" spans="1:7" x14ac:dyDescent="0.3">
      <c r="A72" s="40">
        <v>8</v>
      </c>
      <c r="B72" s="40">
        <v>0.48888999999999999</v>
      </c>
      <c r="C72" s="40">
        <v>0.80876300000000001</v>
      </c>
      <c r="D72" s="40"/>
      <c r="E72" s="40"/>
      <c r="F72" s="40"/>
      <c r="G72" s="40"/>
    </row>
    <row r="73" spans="1:7" x14ac:dyDescent="0.3">
      <c r="A73" s="40">
        <v>8.1</v>
      </c>
      <c r="B73" s="40">
        <v>0.488923</v>
      </c>
      <c r="C73" s="40">
        <v>0.81473600000000002</v>
      </c>
      <c r="D73" s="40"/>
      <c r="E73" s="40"/>
      <c r="F73" s="40"/>
      <c r="G73" s="40"/>
    </row>
    <row r="74" spans="1:7" x14ac:dyDescent="0.3">
      <c r="A74" s="40">
        <v>8.1999999999999993</v>
      </c>
      <c r="B74" s="40">
        <v>0.48882500000000001</v>
      </c>
      <c r="C74" s="40">
        <v>0.82064000000000004</v>
      </c>
      <c r="D74" s="40"/>
      <c r="E74" s="40"/>
      <c r="F74" s="40"/>
      <c r="G74" s="40"/>
    </row>
    <row r="75" spans="1:7" x14ac:dyDescent="0.3">
      <c r="A75" s="40">
        <v>8.3000000000000007</v>
      </c>
      <c r="B75" s="40">
        <v>0.48863400000000001</v>
      </c>
      <c r="C75" s="40">
        <v>0.82650299999999999</v>
      </c>
      <c r="D75" s="40"/>
      <c r="E75" s="40"/>
      <c r="F75" s="40"/>
      <c r="G75" s="40"/>
    </row>
    <row r="76" spans="1:7" x14ac:dyDescent="0.3">
      <c r="A76" s="40">
        <v>8.4</v>
      </c>
      <c r="B76" s="40">
        <v>0.48832300000000001</v>
      </c>
      <c r="C76" s="40">
        <v>0.83230400000000004</v>
      </c>
      <c r="D76" s="40"/>
      <c r="E76" s="40"/>
      <c r="F76" s="40"/>
      <c r="G76" s="40"/>
    </row>
    <row r="77" spans="1:7" x14ac:dyDescent="0.3">
      <c r="A77" s="40">
        <v>8.5</v>
      </c>
      <c r="B77" s="40">
        <v>0.48789199999999999</v>
      </c>
      <c r="C77" s="40">
        <v>0.83803700000000003</v>
      </c>
      <c r="D77" s="40"/>
      <c r="E77" s="40"/>
      <c r="F77" s="40"/>
      <c r="G77" s="40"/>
    </row>
    <row r="78" spans="1:7" x14ac:dyDescent="0.3">
      <c r="A78" s="40">
        <v>8.6</v>
      </c>
      <c r="B78" s="40">
        <v>0.48733300000000002</v>
      </c>
      <c r="C78" s="40">
        <v>0.84370199999999995</v>
      </c>
      <c r="D78" s="40"/>
      <c r="E78" s="40"/>
      <c r="F78" s="40"/>
      <c r="G78" s="40"/>
    </row>
    <row r="79" spans="1:7" x14ac:dyDescent="0.3">
      <c r="A79" s="40">
        <v>8.6999999999999993</v>
      </c>
      <c r="B79" s="40">
        <v>0.48664600000000002</v>
      </c>
      <c r="C79" s="40">
        <v>0.84928999999999999</v>
      </c>
      <c r="D79" s="40"/>
      <c r="E79" s="40"/>
      <c r="F79" s="40"/>
      <c r="G79" s="40"/>
    </row>
    <row r="80" spans="1:7" x14ac:dyDescent="0.3">
      <c r="A80" s="40">
        <v>8.8000000000000007</v>
      </c>
      <c r="B80" s="40">
        <v>0.48582799999999998</v>
      </c>
      <c r="C80" s="40">
        <v>0.85479700000000003</v>
      </c>
      <c r="D80" s="40"/>
      <c r="E80" s="40"/>
      <c r="F80" s="40"/>
      <c r="G80" s="40"/>
    </row>
    <row r="81" spans="1:7" x14ac:dyDescent="0.3">
      <c r="A81" s="40">
        <v>8.9</v>
      </c>
      <c r="B81" s="40">
        <v>0.48487799999999998</v>
      </c>
      <c r="C81" s="40">
        <v>0.86022200000000004</v>
      </c>
      <c r="D81" s="40"/>
      <c r="E81" s="40"/>
      <c r="F81" s="40"/>
      <c r="G81" s="40"/>
    </row>
    <row r="82" spans="1:7" x14ac:dyDescent="0.3">
      <c r="A82" s="40">
        <v>9</v>
      </c>
      <c r="B82" s="40">
        <v>0.48379499999999998</v>
      </c>
      <c r="C82" s="40">
        <v>0.86556999999999995</v>
      </c>
      <c r="D82" s="40"/>
      <c r="E82" s="40"/>
      <c r="F82" s="40"/>
      <c r="G82" s="40"/>
    </row>
    <row r="83" spans="1:7" x14ac:dyDescent="0.3">
      <c r="A83" s="40">
        <v>9.1</v>
      </c>
      <c r="B83" s="40">
        <v>0.48258299999999998</v>
      </c>
      <c r="C83" s="40">
        <v>0.87085400000000002</v>
      </c>
      <c r="D83" s="40"/>
      <c r="E83" s="40"/>
      <c r="F83" s="40"/>
      <c r="G83" s="40"/>
    </row>
    <row r="84" spans="1:7" x14ac:dyDescent="0.3">
      <c r="A84" s="40">
        <v>9.1999999999999993</v>
      </c>
      <c r="B84" s="40">
        <v>0.48124099999999997</v>
      </c>
      <c r="C84" s="40">
        <v>0.87606899999999999</v>
      </c>
      <c r="D84" s="40"/>
      <c r="E84" s="40"/>
      <c r="F84" s="40"/>
      <c r="G84" s="40"/>
    </row>
    <row r="85" spans="1:7" x14ac:dyDescent="0.3">
      <c r="A85" s="40">
        <v>9.3000000000000007</v>
      </c>
      <c r="B85" s="40">
        <v>0.479771</v>
      </c>
      <c r="C85" s="40">
        <v>0.88122500000000004</v>
      </c>
      <c r="D85" s="40"/>
      <c r="E85" s="40"/>
      <c r="F85" s="40"/>
      <c r="G85" s="40"/>
    </row>
    <row r="86" spans="1:7" x14ac:dyDescent="0.3">
      <c r="A86" s="40">
        <v>9.4</v>
      </c>
      <c r="B86" s="40">
        <v>0.47817300000000001</v>
      </c>
      <c r="C86" s="40">
        <v>0.88632599999999995</v>
      </c>
      <c r="D86" s="40"/>
      <c r="E86" s="40"/>
      <c r="F86" s="40"/>
      <c r="G86" s="40"/>
    </row>
    <row r="87" spans="1:7" x14ac:dyDescent="0.3">
      <c r="A87" s="40">
        <v>9.5</v>
      </c>
      <c r="B87" s="40">
        <v>0.47645300000000002</v>
      </c>
      <c r="C87" s="40">
        <v>0.89137900000000003</v>
      </c>
      <c r="D87" s="40"/>
      <c r="E87" s="40"/>
      <c r="F87" s="40"/>
      <c r="G87" s="40"/>
    </row>
    <row r="88" spans="1:7" x14ac:dyDescent="0.3">
      <c r="A88" s="40">
        <v>9.6</v>
      </c>
      <c r="B88" s="40">
        <v>0.47462199999999999</v>
      </c>
      <c r="C88" s="40">
        <v>0.89637800000000001</v>
      </c>
      <c r="D88" s="40"/>
      <c r="E88" s="40"/>
      <c r="F88" s="40"/>
      <c r="G88" s="40"/>
    </row>
    <row r="89" spans="1:7" x14ac:dyDescent="0.3">
      <c r="A89" s="40">
        <v>9.6999999999999993</v>
      </c>
      <c r="B89" s="40">
        <v>0.472686</v>
      </c>
      <c r="C89" s="40">
        <v>0.90132800000000002</v>
      </c>
      <c r="D89" s="40"/>
      <c r="E89" s="40"/>
      <c r="F89" s="40"/>
      <c r="G89" s="40"/>
    </row>
    <row r="90" spans="1:7" x14ac:dyDescent="0.3">
      <c r="A90" s="40">
        <v>9.8000000000000007</v>
      </c>
      <c r="B90" s="40">
        <v>0.47064699999999998</v>
      </c>
      <c r="C90" s="40">
        <v>0.90622400000000003</v>
      </c>
      <c r="D90" s="40"/>
      <c r="E90" s="40"/>
      <c r="F90" s="40"/>
      <c r="G90" s="40"/>
    </row>
    <row r="91" spans="1:7" x14ac:dyDescent="0.3">
      <c r="A91" s="40">
        <v>9.9</v>
      </c>
      <c r="B91" s="40">
        <v>0.46850799999999998</v>
      </c>
      <c r="C91" s="40">
        <v>0.91106100000000001</v>
      </c>
      <c r="D91" s="40"/>
      <c r="E91" s="40"/>
      <c r="F91" s="40"/>
      <c r="G91" s="40"/>
    </row>
    <row r="92" spans="1:7" x14ac:dyDescent="0.3">
      <c r="A92" s="40">
        <v>10</v>
      </c>
      <c r="B92" s="40">
        <v>0.46626200000000001</v>
      </c>
      <c r="C92" s="40">
        <v>0.91583099999999995</v>
      </c>
      <c r="D92" s="40"/>
      <c r="E92" s="40"/>
      <c r="F92" s="40"/>
      <c r="G92" s="40"/>
    </row>
    <row r="93" spans="1:7" x14ac:dyDescent="0.3">
      <c r="A93" s="40">
        <v>10.1</v>
      </c>
      <c r="B93" s="40">
        <v>0.463916</v>
      </c>
      <c r="C93" s="40">
        <v>0.920539</v>
      </c>
      <c r="D93" s="40"/>
      <c r="E93" s="40"/>
      <c r="F93" s="40"/>
      <c r="G93" s="40"/>
    </row>
    <row r="94" spans="1:7" x14ac:dyDescent="0.3">
      <c r="A94" s="40">
        <v>10.199999999999999</v>
      </c>
      <c r="B94" s="40">
        <v>0.46146399999999999</v>
      </c>
      <c r="C94" s="40">
        <v>0.92518500000000004</v>
      </c>
      <c r="D94" s="40"/>
      <c r="E94" s="40"/>
      <c r="F94" s="40"/>
      <c r="G94" s="40"/>
    </row>
    <row r="95" spans="1:7" x14ac:dyDescent="0.3">
      <c r="A95" s="40">
        <v>10.3</v>
      </c>
      <c r="B95" s="40">
        <v>0.45890199999999998</v>
      </c>
      <c r="C95" s="40">
        <v>0.92976800000000004</v>
      </c>
      <c r="D95" s="40"/>
      <c r="E95" s="40"/>
      <c r="F95" s="40"/>
      <c r="G95" s="40"/>
    </row>
    <row r="96" spans="1:7" x14ac:dyDescent="0.3">
      <c r="A96" s="40">
        <v>10.4</v>
      </c>
      <c r="B96" s="40">
        <v>0.456233</v>
      </c>
      <c r="C96" s="40">
        <v>0.93429300000000004</v>
      </c>
      <c r="D96" s="40"/>
      <c r="E96" s="40"/>
      <c r="F96" s="40"/>
      <c r="G96" s="40"/>
    </row>
    <row r="97" spans="1:7" x14ac:dyDescent="0.3">
      <c r="A97" s="40">
        <v>10.5</v>
      </c>
      <c r="B97" s="40">
        <v>0.45345600000000003</v>
      </c>
      <c r="C97" s="40">
        <v>0.93876700000000002</v>
      </c>
      <c r="D97" s="40"/>
      <c r="E97" s="40"/>
      <c r="F97" s="40"/>
      <c r="G97" s="40"/>
    </row>
    <row r="98" spans="1:7" x14ac:dyDescent="0.3">
      <c r="A98" s="40">
        <v>10.6</v>
      </c>
      <c r="B98" s="40">
        <v>0.45057599999999998</v>
      </c>
      <c r="C98" s="40">
        <v>0.94319500000000001</v>
      </c>
      <c r="D98" s="40"/>
      <c r="E98" s="40"/>
      <c r="F98" s="40"/>
      <c r="G98" s="40"/>
    </row>
    <row r="99" spans="1:7" x14ac:dyDescent="0.3">
      <c r="A99" s="40">
        <v>10.7</v>
      </c>
      <c r="B99" s="40">
        <v>0.44758700000000001</v>
      </c>
      <c r="C99" s="40">
        <v>0.94757800000000003</v>
      </c>
      <c r="D99" s="40"/>
      <c r="E99" s="40"/>
      <c r="F99" s="40"/>
      <c r="G99" s="40"/>
    </row>
    <row r="100" spans="1:7" x14ac:dyDescent="0.3">
      <c r="A100" s="40">
        <v>10.8</v>
      </c>
      <c r="B100" s="40">
        <v>0.444492</v>
      </c>
      <c r="C100" s="40">
        <v>0.95191599999999998</v>
      </c>
      <c r="D100" s="40"/>
      <c r="E100" s="40"/>
      <c r="F100" s="40"/>
      <c r="G100" s="40"/>
    </row>
    <row r="101" spans="1:7" x14ac:dyDescent="0.3">
      <c r="A101" s="40">
        <v>10.9</v>
      </c>
      <c r="B101" s="40">
        <v>0.44129400000000002</v>
      </c>
      <c r="C101" s="40">
        <v>0.95621599999999995</v>
      </c>
      <c r="D101" s="40"/>
      <c r="E101" s="40"/>
      <c r="F101" s="40"/>
      <c r="G101" s="40"/>
    </row>
    <row r="102" spans="1:7" x14ac:dyDescent="0.3">
      <c r="A102" s="40">
        <v>11</v>
      </c>
      <c r="B102" s="40">
        <v>0.437998</v>
      </c>
      <c r="C102" s="40">
        <v>0.96046699999999996</v>
      </c>
      <c r="D102" s="40"/>
      <c r="E102" s="40"/>
      <c r="F102" s="40"/>
      <c r="G102" s="40"/>
    </row>
    <row r="103" spans="1:7" x14ac:dyDescent="0.3">
      <c r="A103" s="40">
        <v>11.1</v>
      </c>
      <c r="B103" s="40">
        <v>0.43460199999999999</v>
      </c>
      <c r="C103" s="40">
        <v>0.96467199999999997</v>
      </c>
      <c r="D103" s="40"/>
      <c r="E103" s="40"/>
      <c r="F103" s="40"/>
      <c r="G103" s="40"/>
    </row>
    <row r="104" spans="1:7" x14ac:dyDescent="0.3">
      <c r="A104" s="40">
        <v>11.2</v>
      </c>
      <c r="B104" s="40">
        <v>0.43110700000000002</v>
      </c>
      <c r="C104" s="40">
        <v>0.96882999999999997</v>
      </c>
      <c r="D104" s="40"/>
      <c r="E104" s="40"/>
      <c r="F104" s="40"/>
      <c r="G104" s="40"/>
    </row>
    <row r="105" spans="1:7" x14ac:dyDescent="0.3">
      <c r="A105" s="40">
        <v>11.3</v>
      </c>
      <c r="B105" s="40">
        <v>0.42751099999999997</v>
      </c>
      <c r="C105" s="40">
        <v>0.97293700000000005</v>
      </c>
      <c r="D105" s="40"/>
      <c r="E105" s="40"/>
      <c r="F105" s="40"/>
      <c r="G105" s="40"/>
    </row>
    <row r="106" spans="1:7" x14ac:dyDescent="0.3">
      <c r="A106" s="40">
        <v>11.4</v>
      </c>
      <c r="B106" s="40">
        <v>0.42381400000000002</v>
      </c>
      <c r="C106" s="40">
        <v>0.97699100000000005</v>
      </c>
      <c r="D106" s="40"/>
      <c r="E106" s="40"/>
      <c r="F106" s="40"/>
      <c r="G106" s="40"/>
    </row>
    <row r="107" spans="1:7" x14ac:dyDescent="0.3">
      <c r="A107" s="40">
        <v>11.5</v>
      </c>
      <c r="B107" s="40">
        <v>0.42002299999999998</v>
      </c>
      <c r="C107" s="40">
        <v>0.98099400000000003</v>
      </c>
      <c r="D107" s="40"/>
      <c r="E107" s="40"/>
      <c r="F107" s="40"/>
      <c r="G107" s="40"/>
    </row>
    <row r="108" spans="1:7" x14ac:dyDescent="0.3">
      <c r="A108" s="40">
        <v>11.6</v>
      </c>
      <c r="B108" s="40">
        <v>0.416128</v>
      </c>
      <c r="C108" s="40">
        <v>0.98494400000000004</v>
      </c>
      <c r="D108" s="40"/>
      <c r="E108" s="40"/>
      <c r="F108" s="40"/>
      <c r="G108" s="40"/>
    </row>
    <row r="109" spans="1:7" x14ac:dyDescent="0.3">
      <c r="A109" s="40">
        <v>11.7</v>
      </c>
      <c r="B109" s="40">
        <v>0.41212799999999999</v>
      </c>
      <c r="C109" s="40">
        <v>0.98884700000000003</v>
      </c>
      <c r="D109" s="40"/>
      <c r="E109" s="40"/>
      <c r="F109" s="40"/>
      <c r="G109" s="40"/>
    </row>
    <row r="110" spans="1:7" x14ac:dyDescent="0.3">
      <c r="A110" s="40">
        <v>11.8</v>
      </c>
      <c r="B110" s="40">
        <v>0.40802500000000003</v>
      </c>
      <c r="C110" s="40">
        <v>0.99270700000000001</v>
      </c>
      <c r="D110" s="40"/>
      <c r="E110" s="40"/>
      <c r="F110" s="40"/>
      <c r="G110" s="40"/>
    </row>
    <row r="111" spans="1:7" x14ac:dyDescent="0.3">
      <c r="A111" s="40">
        <v>11.9</v>
      </c>
      <c r="B111" s="40">
        <v>0.403831</v>
      </c>
      <c r="C111" s="40">
        <v>0.99653199999999997</v>
      </c>
      <c r="D111" s="40"/>
      <c r="E111" s="40"/>
      <c r="F111" s="40"/>
      <c r="G111" s="40"/>
    </row>
    <row r="112" spans="1:7" x14ac:dyDescent="0.3">
      <c r="A112" s="40">
        <v>12</v>
      </c>
      <c r="B112" s="40">
        <v>0.39954699999999999</v>
      </c>
      <c r="C112" s="40">
        <v>1.0003200000000001</v>
      </c>
      <c r="D112" s="40"/>
      <c r="E112" s="40"/>
      <c r="F112" s="40"/>
      <c r="G112" s="40"/>
    </row>
    <row r="113" spans="1:7" x14ac:dyDescent="0.3">
      <c r="A113" s="40">
        <v>12.1</v>
      </c>
      <c r="B113" s="40">
        <v>0.39517400000000003</v>
      </c>
      <c r="C113" s="40">
        <v>1.0040800000000001</v>
      </c>
      <c r="D113" s="40"/>
      <c r="E113" s="40"/>
      <c r="F113" s="40"/>
      <c r="G113" s="40"/>
    </row>
    <row r="114" spans="1:7" x14ac:dyDescent="0.3">
      <c r="A114" s="40">
        <v>12.2</v>
      </c>
      <c r="B114" s="40">
        <v>0.39071</v>
      </c>
      <c r="C114" s="40">
        <v>1.0078100000000001</v>
      </c>
      <c r="D114" s="40"/>
      <c r="E114" s="40"/>
      <c r="F114" s="40"/>
      <c r="G114" s="40"/>
    </row>
    <row r="115" spans="1:7" x14ac:dyDescent="0.3">
      <c r="A115" s="40">
        <v>12.3</v>
      </c>
      <c r="B115" s="40">
        <v>0.386158</v>
      </c>
      <c r="C115" s="40">
        <v>1.0115000000000001</v>
      </c>
      <c r="D115" s="40"/>
      <c r="E115" s="40"/>
      <c r="F115" s="40"/>
      <c r="G115" s="40"/>
    </row>
    <row r="116" spans="1:7" x14ac:dyDescent="0.3">
      <c r="A116" s="40">
        <v>12.4</v>
      </c>
      <c r="B116" s="40">
        <v>0.38152000000000003</v>
      </c>
      <c r="C116" s="40">
        <v>1.0151699999999999</v>
      </c>
      <c r="D116" s="40"/>
      <c r="E116" s="40"/>
      <c r="F116" s="40"/>
      <c r="G116" s="40"/>
    </row>
    <row r="117" spans="1:7" x14ac:dyDescent="0.3">
      <c r="A117" s="40">
        <v>12.5</v>
      </c>
      <c r="B117" s="40">
        <v>0.37679800000000002</v>
      </c>
      <c r="C117" s="40">
        <v>1.01881</v>
      </c>
      <c r="D117" s="40"/>
      <c r="E117" s="40"/>
      <c r="F117" s="40"/>
      <c r="G117" s="40"/>
    </row>
    <row r="118" spans="1:7" x14ac:dyDescent="0.3">
      <c r="A118" s="40">
        <v>12.6</v>
      </c>
      <c r="B118" s="40">
        <v>0.372002</v>
      </c>
      <c r="C118" s="40">
        <v>1.0224200000000001</v>
      </c>
      <c r="D118" s="40"/>
      <c r="E118" s="40"/>
      <c r="F118" s="40"/>
      <c r="G118" s="40"/>
    </row>
    <row r="119" spans="1:7" x14ac:dyDescent="0.3">
      <c r="A119" s="40">
        <v>12.7</v>
      </c>
      <c r="B119" s="40">
        <v>0.36713000000000001</v>
      </c>
      <c r="C119" s="40">
        <v>1.026</v>
      </c>
      <c r="D119" s="40"/>
      <c r="E119" s="40"/>
      <c r="F119" s="40"/>
      <c r="G119" s="40"/>
    </row>
    <row r="120" spans="1:7" x14ac:dyDescent="0.3">
      <c r="A120" s="40">
        <v>12.8</v>
      </c>
      <c r="B120" s="40">
        <v>0.362178</v>
      </c>
      <c r="C120" s="40">
        <v>1.02955</v>
      </c>
      <c r="D120" s="40"/>
      <c r="E120" s="40"/>
      <c r="F120" s="40"/>
      <c r="G120" s="40"/>
    </row>
    <row r="121" spans="1:7" x14ac:dyDescent="0.3">
      <c r="A121" s="40">
        <v>12.9</v>
      </c>
      <c r="B121" s="40">
        <v>0.35714299999999999</v>
      </c>
      <c r="C121" s="40">
        <v>1.0330699999999999</v>
      </c>
      <c r="D121" s="40"/>
      <c r="E121" s="40"/>
      <c r="F121" s="40"/>
      <c r="G121" s="40"/>
    </row>
    <row r="122" spans="1:7" x14ac:dyDescent="0.3">
      <c r="A122" s="40">
        <v>13</v>
      </c>
      <c r="B122" s="40">
        <v>0.35202099999999997</v>
      </c>
      <c r="C122" s="40">
        <v>1.03657</v>
      </c>
      <c r="D122" s="40"/>
      <c r="E122" s="40"/>
      <c r="F122" s="40"/>
      <c r="G122" s="40"/>
    </row>
    <row r="123" spans="1:7" x14ac:dyDescent="0.3">
      <c r="A123" s="40">
        <v>13.1</v>
      </c>
      <c r="B123" s="40">
        <v>0.34681099999999998</v>
      </c>
      <c r="C123" s="40">
        <v>1.0400400000000001</v>
      </c>
      <c r="D123" s="40"/>
      <c r="E123" s="40"/>
      <c r="F123" s="40"/>
      <c r="G123" s="40"/>
    </row>
    <row r="124" spans="1:7" x14ac:dyDescent="0.3">
      <c r="A124" s="40">
        <v>13.2</v>
      </c>
      <c r="B124" s="40">
        <v>0.34151799999999999</v>
      </c>
      <c r="C124" s="40">
        <v>1.04348</v>
      </c>
      <c r="D124" s="40"/>
      <c r="E124" s="40"/>
      <c r="F124" s="40"/>
      <c r="G124" s="40"/>
    </row>
    <row r="125" spans="1:7" x14ac:dyDescent="0.3">
      <c r="A125" s="40">
        <v>13.3</v>
      </c>
      <c r="B125" s="40">
        <v>0.33614300000000003</v>
      </c>
      <c r="C125" s="40">
        <v>1.0468999999999999</v>
      </c>
      <c r="D125" s="40"/>
      <c r="E125" s="40"/>
      <c r="F125" s="40"/>
      <c r="G125" s="40"/>
    </row>
    <row r="126" spans="1:7" x14ac:dyDescent="0.3">
      <c r="A126" s="40">
        <v>13.4</v>
      </c>
      <c r="B126" s="40">
        <v>0.33068500000000001</v>
      </c>
      <c r="C126" s="40">
        <v>1.0503</v>
      </c>
      <c r="D126" s="40"/>
      <c r="E126" s="40"/>
      <c r="F126" s="40"/>
      <c r="G126" s="40"/>
    </row>
    <row r="127" spans="1:7" x14ac:dyDescent="0.3">
      <c r="A127" s="40">
        <v>13.5</v>
      </c>
      <c r="B127" s="40">
        <v>0.32514500000000002</v>
      </c>
      <c r="C127" s="40">
        <v>1.0536700000000001</v>
      </c>
      <c r="D127" s="40"/>
      <c r="E127" s="40"/>
      <c r="F127" s="40"/>
      <c r="G127" s="40"/>
    </row>
    <row r="128" spans="1:7" x14ac:dyDescent="0.3">
      <c r="A128" s="40">
        <v>13.6</v>
      </c>
      <c r="B128" s="40">
        <v>0.31952399999999997</v>
      </c>
      <c r="C128" s="40">
        <v>1.0570200000000001</v>
      </c>
      <c r="D128" s="40"/>
      <c r="E128" s="40"/>
      <c r="F128" s="40"/>
      <c r="G128" s="40"/>
    </row>
    <row r="129" spans="1:7" x14ac:dyDescent="0.3">
      <c r="A129" s="40">
        <v>13.7</v>
      </c>
      <c r="B129" s="40">
        <v>0.31382399999999999</v>
      </c>
      <c r="C129" s="40">
        <v>1.06036</v>
      </c>
      <c r="D129" s="40"/>
      <c r="E129" s="40"/>
      <c r="F129" s="40"/>
      <c r="G129" s="40"/>
    </row>
    <row r="130" spans="1:7" x14ac:dyDescent="0.3">
      <c r="A130" s="40">
        <v>13.8</v>
      </c>
      <c r="B130" s="40">
        <v>0.30804599999999999</v>
      </c>
      <c r="C130" s="40">
        <v>1.06369</v>
      </c>
      <c r="D130" s="40"/>
      <c r="E130" s="40"/>
      <c r="F130" s="40"/>
      <c r="G130" s="40"/>
    </row>
    <row r="131" spans="1:7" x14ac:dyDescent="0.3">
      <c r="A131" s="40">
        <v>13.9</v>
      </c>
      <c r="B131" s="40">
        <v>0.30219099999999999</v>
      </c>
      <c r="C131" s="40">
        <v>1.0669900000000001</v>
      </c>
      <c r="D131" s="40"/>
      <c r="E131" s="40"/>
      <c r="F131" s="40"/>
      <c r="G131" s="40"/>
    </row>
    <row r="132" spans="1:7" x14ac:dyDescent="0.3">
      <c r="A132" s="40">
        <v>14</v>
      </c>
      <c r="B132" s="40">
        <v>0.29626000000000002</v>
      </c>
      <c r="C132" s="40">
        <v>1.0702799999999999</v>
      </c>
      <c r="D132" s="40"/>
      <c r="E132" s="40"/>
      <c r="F132" s="40"/>
      <c r="G132" s="40"/>
    </row>
    <row r="133" spans="1:7" x14ac:dyDescent="0.3">
      <c r="A133" s="40">
        <v>14.1</v>
      </c>
      <c r="B133" s="40">
        <v>0.29025299999999998</v>
      </c>
      <c r="C133" s="40">
        <v>1.07355</v>
      </c>
      <c r="D133" s="40"/>
      <c r="E133" s="40"/>
      <c r="F133" s="40"/>
      <c r="G133" s="40"/>
    </row>
    <row r="134" spans="1:7" x14ac:dyDescent="0.3">
      <c r="A134" s="40">
        <v>14.2</v>
      </c>
      <c r="B134" s="40">
        <v>0.28416999999999998</v>
      </c>
      <c r="C134" s="40">
        <v>1.07681</v>
      </c>
      <c r="D134" s="40"/>
      <c r="E134" s="40"/>
      <c r="F134" s="40"/>
      <c r="G134" s="40"/>
    </row>
    <row r="135" spans="1:7" x14ac:dyDescent="0.3">
      <c r="A135" s="40">
        <v>14.3</v>
      </c>
      <c r="B135" s="40">
        <v>0.27801100000000001</v>
      </c>
      <c r="C135" s="40">
        <v>1.08006</v>
      </c>
      <c r="D135" s="40"/>
      <c r="E135" s="40"/>
      <c r="F135" s="40"/>
      <c r="G135" s="40"/>
    </row>
    <row r="136" spans="1:7" x14ac:dyDescent="0.3">
      <c r="A136" s="40">
        <v>14.4</v>
      </c>
      <c r="B136" s="40">
        <v>0.27177499999999999</v>
      </c>
      <c r="C136" s="40">
        <v>1.0832999999999999</v>
      </c>
      <c r="D136" s="40"/>
      <c r="E136" s="40"/>
      <c r="F136" s="40"/>
      <c r="G136" s="40"/>
    </row>
    <row r="137" spans="1:7" x14ac:dyDescent="0.3">
      <c r="A137" s="40">
        <v>14.5</v>
      </c>
      <c r="B137" s="40">
        <v>0.26546399999999998</v>
      </c>
      <c r="C137" s="40">
        <v>1.08653</v>
      </c>
      <c r="D137" s="40"/>
      <c r="E137" s="40"/>
      <c r="F137" s="40"/>
      <c r="G137" s="40"/>
    </row>
    <row r="138" spans="1:7" x14ac:dyDescent="0.3">
      <c r="A138" s="40">
        <v>14.6</v>
      </c>
      <c r="B138" s="40">
        <v>0.25907799999999997</v>
      </c>
      <c r="C138" s="40">
        <v>1.08975</v>
      </c>
      <c r="D138" s="40"/>
      <c r="E138" s="40"/>
      <c r="F138" s="40"/>
      <c r="G138" s="40"/>
    </row>
    <row r="139" spans="1:7" x14ac:dyDescent="0.3">
      <c r="A139" s="40">
        <v>14.7</v>
      </c>
      <c r="B139" s="40">
        <v>0.25261499999999998</v>
      </c>
      <c r="C139" s="40">
        <v>1.0929599999999999</v>
      </c>
      <c r="D139" s="40"/>
      <c r="E139" s="40"/>
      <c r="F139" s="40"/>
      <c r="G139" s="40"/>
    </row>
    <row r="140" spans="1:7" x14ac:dyDescent="0.3">
      <c r="A140" s="40">
        <v>14.8</v>
      </c>
      <c r="B140" s="40">
        <v>0.246056</v>
      </c>
      <c r="C140" s="40">
        <v>1.09616</v>
      </c>
      <c r="D140" s="40"/>
      <c r="E140" s="40"/>
      <c r="F140" s="40"/>
      <c r="G140" s="40"/>
    </row>
    <row r="141" spans="1:7" x14ac:dyDescent="0.3">
      <c r="A141" s="40">
        <v>14.9</v>
      </c>
      <c r="B141" s="40">
        <v>0.23941499999999999</v>
      </c>
      <c r="C141" s="40">
        <v>1.09934</v>
      </c>
      <c r="D141" s="40"/>
      <c r="E141" s="40"/>
      <c r="F141" s="40"/>
      <c r="G141" s="40"/>
    </row>
    <row r="142" spans="1:7" x14ac:dyDescent="0.3">
      <c r="A142" s="40">
        <v>15</v>
      </c>
      <c r="B142" s="40">
        <v>0.23269500000000001</v>
      </c>
      <c r="C142" s="40">
        <v>1.1025199999999999</v>
      </c>
      <c r="D142" s="40"/>
      <c r="E142" s="40"/>
      <c r="F142" s="40"/>
      <c r="G142" s="40"/>
    </row>
    <row r="143" spans="1:7" x14ac:dyDescent="0.3">
      <c r="A143" s="40">
        <v>15.1</v>
      </c>
      <c r="B143" s="40">
        <v>0.225886</v>
      </c>
      <c r="C143" s="40">
        <v>1.10568</v>
      </c>
      <c r="D143" s="40"/>
      <c r="E143" s="40"/>
      <c r="F143" s="40"/>
      <c r="G143" s="40"/>
    </row>
    <row r="144" spans="1:7" x14ac:dyDescent="0.3">
      <c r="A144" s="40">
        <v>15.2</v>
      </c>
      <c r="B144" s="40">
        <v>0.21898899999999999</v>
      </c>
      <c r="C144" s="40">
        <v>1.10884</v>
      </c>
      <c r="D144" s="40"/>
      <c r="E144" s="40"/>
      <c r="F144" s="40"/>
      <c r="G144" s="40"/>
    </row>
    <row r="145" spans="1:7" x14ac:dyDescent="0.3">
      <c r="A145" s="40">
        <v>15.3</v>
      </c>
      <c r="B145" s="40">
        <v>0.21198500000000001</v>
      </c>
      <c r="C145" s="40">
        <v>1.11198</v>
      </c>
      <c r="D145" s="40"/>
      <c r="E145" s="40"/>
      <c r="F145" s="40"/>
      <c r="G145" s="40"/>
    </row>
    <row r="146" spans="1:7" x14ac:dyDescent="0.3">
      <c r="A146" s="40">
        <v>15.4</v>
      </c>
      <c r="B146" s="40">
        <v>0.20489499999999999</v>
      </c>
      <c r="C146" s="40">
        <v>1.1151199999999999</v>
      </c>
      <c r="D146" s="40"/>
      <c r="E146" s="40"/>
      <c r="F146" s="40"/>
      <c r="G146" s="40"/>
    </row>
    <row r="147" spans="1:7" x14ac:dyDescent="0.3">
      <c r="A147" s="40">
        <v>15.5</v>
      </c>
      <c r="B147" s="40">
        <v>0.197711</v>
      </c>
      <c r="C147" s="40">
        <v>1.11825</v>
      </c>
      <c r="D147" s="40"/>
      <c r="E147" s="40"/>
      <c r="F147" s="40"/>
      <c r="G147" s="40"/>
    </row>
    <row r="148" spans="1:7" x14ac:dyDescent="0.3">
      <c r="A148" s="40">
        <v>15.6</v>
      </c>
      <c r="B148" s="40">
        <v>0.19043599999999999</v>
      </c>
      <c r="C148" s="40">
        <v>1.12137</v>
      </c>
      <c r="D148" s="40"/>
      <c r="E148" s="40"/>
      <c r="F148" s="40"/>
      <c r="G148" s="40"/>
    </row>
    <row r="149" spans="1:7" x14ac:dyDescent="0.3">
      <c r="A149" s="40">
        <v>15.7</v>
      </c>
      <c r="B149" s="40">
        <v>0.18307799999999999</v>
      </c>
      <c r="C149" s="40">
        <v>1.12449</v>
      </c>
      <c r="D149" s="40"/>
      <c r="E149" s="40"/>
      <c r="F149" s="40"/>
      <c r="G149" s="40"/>
    </row>
    <row r="150" spans="1:7" x14ac:dyDescent="0.3">
      <c r="A150" s="40">
        <v>15.8</v>
      </c>
      <c r="B150" s="40">
        <v>0.17563500000000001</v>
      </c>
      <c r="C150" s="40">
        <v>1.12761</v>
      </c>
      <c r="D150" s="40"/>
      <c r="E150" s="40"/>
      <c r="F150" s="40"/>
      <c r="G150" s="40"/>
    </row>
    <row r="151" spans="1:7" x14ac:dyDescent="0.3">
      <c r="A151" s="40">
        <v>15.9</v>
      </c>
      <c r="B151" s="40">
        <v>0.16810800000000001</v>
      </c>
      <c r="C151" s="40">
        <v>1.1307199999999999</v>
      </c>
      <c r="D151" s="40"/>
      <c r="E151" s="40"/>
      <c r="F151" s="40"/>
      <c r="G151" s="40"/>
    </row>
    <row r="152" spans="1:7" x14ac:dyDescent="0.3">
      <c r="A152" s="40">
        <v>16</v>
      </c>
      <c r="B152" s="40">
        <v>0.160495</v>
      </c>
      <c r="C152" s="40">
        <v>1.1338200000000001</v>
      </c>
      <c r="D152" s="40"/>
      <c r="E152" s="40"/>
      <c r="F152" s="40"/>
      <c r="G152" s="40"/>
    </row>
    <row r="153" spans="1:7" x14ac:dyDescent="0.3">
      <c r="A153" s="40">
        <v>16.100000000000001</v>
      </c>
      <c r="B153" s="40">
        <v>0.15279499999999999</v>
      </c>
      <c r="C153" s="40">
        <v>1.1369199999999999</v>
      </c>
      <c r="D153" s="40"/>
      <c r="E153" s="40"/>
      <c r="F153" s="40"/>
      <c r="G153" s="40"/>
    </row>
    <row r="154" spans="1:7" x14ac:dyDescent="0.3">
      <c r="A154" s="40">
        <v>16.2</v>
      </c>
      <c r="B154" s="40">
        <v>0.145006</v>
      </c>
      <c r="C154" s="40">
        <v>1.14001</v>
      </c>
      <c r="D154" s="40"/>
      <c r="E154" s="40"/>
      <c r="F154" s="40"/>
      <c r="G154" s="40"/>
    </row>
    <row r="155" spans="1:7" x14ac:dyDescent="0.3">
      <c r="A155" s="40">
        <v>16.3</v>
      </c>
      <c r="B155" s="40">
        <v>0.13711599999999999</v>
      </c>
      <c r="C155" s="40">
        <v>1.1431</v>
      </c>
      <c r="D155" s="40"/>
      <c r="E155" s="40"/>
      <c r="F155" s="40"/>
      <c r="G155" s="40"/>
    </row>
    <row r="156" spans="1:7" x14ac:dyDescent="0.3">
      <c r="A156" s="40">
        <v>16.399999999999999</v>
      </c>
      <c r="B156" s="40">
        <v>0.12912100000000001</v>
      </c>
      <c r="C156" s="40">
        <v>1.14619</v>
      </c>
      <c r="D156" s="40"/>
      <c r="E156" s="40"/>
      <c r="F156" s="40"/>
      <c r="G156" s="40"/>
    </row>
    <row r="157" spans="1:7" x14ac:dyDescent="0.3">
      <c r="A157" s="40">
        <v>16.5</v>
      </c>
      <c r="B157" s="40">
        <v>0.121034</v>
      </c>
      <c r="C157" s="40">
        <v>1.1492599999999999</v>
      </c>
      <c r="D157" s="40"/>
      <c r="E157" s="40"/>
      <c r="F157" s="40"/>
      <c r="G157" s="40"/>
    </row>
    <row r="158" spans="1:7" x14ac:dyDescent="0.3">
      <c r="A158" s="40">
        <v>16.600000000000001</v>
      </c>
      <c r="B158" s="40">
        <v>0.112856</v>
      </c>
      <c r="C158" s="40">
        <v>1.1523399999999999</v>
      </c>
      <c r="D158" s="40"/>
      <c r="E158" s="40"/>
      <c r="F158" s="40"/>
      <c r="G158" s="40"/>
    </row>
    <row r="159" spans="1:7" x14ac:dyDescent="0.3">
      <c r="A159" s="40">
        <v>16.7</v>
      </c>
      <c r="B159" s="40">
        <v>0.104575</v>
      </c>
      <c r="C159" s="40">
        <v>1.15541</v>
      </c>
      <c r="D159" s="40"/>
      <c r="E159" s="40"/>
      <c r="F159" s="40"/>
      <c r="G159" s="40"/>
    </row>
    <row r="160" spans="1:7" x14ac:dyDescent="0.3">
      <c r="A160" s="40">
        <v>16.8</v>
      </c>
      <c r="B160" s="40">
        <v>9.6200900000000006E-2</v>
      </c>
      <c r="C160" s="40">
        <v>1.15848</v>
      </c>
      <c r="D160" s="40"/>
      <c r="E160" s="40"/>
      <c r="F160" s="40"/>
      <c r="G160" s="40"/>
    </row>
    <row r="161" spans="1:7" x14ac:dyDescent="0.3">
      <c r="A161" s="40">
        <v>16.899999999999999</v>
      </c>
      <c r="B161" s="40">
        <v>8.7725499999999998E-2</v>
      </c>
      <c r="C161" s="40">
        <v>1.16154</v>
      </c>
      <c r="D161" s="40"/>
      <c r="E161" s="40"/>
      <c r="F161" s="40"/>
      <c r="G161" s="40"/>
    </row>
    <row r="162" spans="1:7" x14ac:dyDescent="0.3">
      <c r="A162" s="40">
        <v>17</v>
      </c>
      <c r="B162" s="40">
        <v>7.9153200000000007E-2</v>
      </c>
      <c r="C162" s="40">
        <v>1.1646099999999999</v>
      </c>
      <c r="D162" s="40"/>
      <c r="E162" s="40"/>
      <c r="F162" s="40"/>
      <c r="G162" s="40"/>
    </row>
    <row r="163" spans="1:7" x14ac:dyDescent="0.3">
      <c r="A163" s="40">
        <v>17</v>
      </c>
      <c r="B163" s="40">
        <v>7.9153200000000007E-2</v>
      </c>
      <c r="C163" s="40">
        <v>1.1646099999999999</v>
      </c>
      <c r="D163" s="40"/>
      <c r="E163" s="40"/>
      <c r="F163" s="40"/>
      <c r="G163" s="40"/>
    </row>
    <row r="164" spans="1:7" x14ac:dyDescent="0.3">
      <c r="A164" s="40"/>
      <c r="B164" s="40"/>
      <c r="C164" s="40"/>
      <c r="D164" s="40"/>
      <c r="E164" s="40"/>
      <c r="F164" s="40"/>
      <c r="G164" s="40"/>
    </row>
    <row r="165" spans="1:7" x14ac:dyDescent="0.3">
      <c r="A165" s="40"/>
      <c r="B165" s="40"/>
      <c r="C165" s="40"/>
      <c r="D165" s="40"/>
      <c r="E165" s="40"/>
      <c r="F165" s="40"/>
      <c r="G165" s="40"/>
    </row>
    <row r="166" spans="1:7" x14ac:dyDescent="0.3">
      <c r="A166" s="40"/>
      <c r="B166" s="40"/>
      <c r="C166" s="40"/>
      <c r="D166" s="40"/>
      <c r="E166" s="40"/>
      <c r="F166" s="40"/>
      <c r="G166" s="40"/>
    </row>
    <row r="167" spans="1:7" x14ac:dyDescent="0.3">
      <c r="A167" s="40"/>
      <c r="B167" s="40"/>
      <c r="C167" s="40"/>
      <c r="D167" s="40"/>
      <c r="E167" s="40"/>
      <c r="F167" s="40"/>
      <c r="G167" s="40"/>
    </row>
    <row r="168" spans="1:7" x14ac:dyDescent="0.3">
      <c r="A168" s="40"/>
      <c r="B168" s="40"/>
      <c r="C168" s="40"/>
      <c r="D168" s="40"/>
      <c r="E168" s="40"/>
      <c r="F168" s="40"/>
      <c r="G168" s="40"/>
    </row>
    <row r="169" spans="1:7" x14ac:dyDescent="0.3">
      <c r="A169" s="40"/>
      <c r="B169" s="40"/>
      <c r="C169" s="40"/>
      <c r="D169" s="40"/>
      <c r="E169" s="40"/>
      <c r="F169" s="40"/>
      <c r="G169" s="40"/>
    </row>
    <row r="170" spans="1:7" x14ac:dyDescent="0.3">
      <c r="A170" s="40"/>
      <c r="B170" s="40"/>
      <c r="C170" s="40"/>
      <c r="D170" s="40"/>
      <c r="E170" s="40"/>
      <c r="F170" s="40"/>
      <c r="G170" s="40"/>
    </row>
    <row r="171" spans="1:7" x14ac:dyDescent="0.3">
      <c r="A171" s="40"/>
      <c r="B171" s="40"/>
      <c r="C171" s="40"/>
      <c r="D171" s="40"/>
      <c r="E171" s="40"/>
      <c r="F171" s="40"/>
      <c r="G171" s="40"/>
    </row>
    <row r="172" spans="1:7" x14ac:dyDescent="0.3">
      <c r="A172" s="40"/>
      <c r="B172" s="40"/>
      <c r="C172" s="40"/>
      <c r="D172" s="40"/>
      <c r="E172" s="40"/>
      <c r="F172" s="40"/>
      <c r="G172" s="40"/>
    </row>
    <row r="173" spans="1:7" x14ac:dyDescent="0.3">
      <c r="A173" s="40"/>
      <c r="B173" s="40"/>
      <c r="C173" s="40"/>
      <c r="D173" s="40"/>
      <c r="E173" s="40"/>
      <c r="F173" s="40"/>
      <c r="G173" s="40"/>
    </row>
    <row r="174" spans="1:7" x14ac:dyDescent="0.3">
      <c r="A174" s="40"/>
      <c r="B174" s="40"/>
      <c r="C174" s="40"/>
      <c r="D174" s="40"/>
      <c r="E174" s="40"/>
      <c r="F174" s="40"/>
      <c r="G174" s="40"/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G23" sqref="G23"/>
    </sheetView>
  </sheetViews>
  <sheetFormatPr defaultRowHeight="14" x14ac:dyDescent="0.3"/>
  <cols>
    <col min="1" max="1" width="25.25" bestFit="1" customWidth="1"/>
  </cols>
  <sheetData>
    <row r="1" spans="1:5" x14ac:dyDescent="0.3">
      <c r="A1" s="40"/>
      <c r="B1" s="40"/>
      <c r="C1" s="40"/>
      <c r="D1" s="40"/>
      <c r="E1" s="40"/>
    </row>
    <row r="2" spans="1:5" x14ac:dyDescent="0.3">
      <c r="A2" s="40"/>
      <c r="B2" s="40"/>
      <c r="C2" s="40"/>
      <c r="D2" s="40"/>
      <c r="E2" s="40"/>
    </row>
    <row r="3" spans="1:5" x14ac:dyDescent="0.3">
      <c r="A3" s="40"/>
      <c r="B3" s="40"/>
      <c r="C3" s="40"/>
      <c r="D3" s="40"/>
      <c r="E3" s="40"/>
    </row>
    <row r="4" spans="1:5" ht="14.5" thickBot="1" x14ac:dyDescent="0.35">
      <c r="A4" s="40"/>
      <c r="B4" s="40"/>
      <c r="C4" s="40"/>
      <c r="D4" s="40"/>
      <c r="E4" s="40"/>
    </row>
    <row r="5" spans="1:5" x14ac:dyDescent="0.3">
      <c r="A5" s="117" t="s">
        <v>20</v>
      </c>
      <c r="B5" s="109">
        <v>78</v>
      </c>
      <c r="C5" s="110" t="s">
        <v>6</v>
      </c>
      <c r="D5" s="40"/>
      <c r="E5" s="40"/>
    </row>
    <row r="6" spans="1:5" x14ac:dyDescent="0.3">
      <c r="A6" s="76" t="s">
        <v>21</v>
      </c>
      <c r="B6" s="42">
        <f>'WT Scale'!B15</f>
        <v>56.998245148811002</v>
      </c>
      <c r="C6" s="77" t="s">
        <v>12</v>
      </c>
      <c r="D6" s="40"/>
      <c r="E6" s="40"/>
    </row>
    <row r="7" spans="1:5" x14ac:dyDescent="0.3">
      <c r="A7" s="76" t="s">
        <v>22</v>
      </c>
      <c r="B7" s="41">
        <f>B5/B6</f>
        <v>1.3684631833200762</v>
      </c>
      <c r="C7" s="77" t="s">
        <v>23</v>
      </c>
      <c r="D7" s="40"/>
      <c r="E7" s="40"/>
    </row>
    <row r="8" spans="1:5" x14ac:dyDescent="0.3">
      <c r="A8" s="76" t="s">
        <v>24</v>
      </c>
      <c r="B8" s="42">
        <f>B7/2/PI()*60</f>
        <v>13.06786080387964</v>
      </c>
      <c r="C8" s="77" t="s">
        <v>25</v>
      </c>
      <c r="D8" s="40"/>
      <c r="E8" s="40"/>
    </row>
    <row r="9" spans="1:5" x14ac:dyDescent="0.3">
      <c r="A9" s="76"/>
      <c r="B9" s="40"/>
      <c r="C9" s="77"/>
      <c r="D9" s="40"/>
      <c r="E9" s="40"/>
    </row>
    <row r="10" spans="1:5" x14ac:dyDescent="0.3">
      <c r="A10" s="76" t="s">
        <v>26</v>
      </c>
      <c r="B10" s="118">
        <f>'cp-lambda data from Ashes'!F2</f>
        <v>0.488923</v>
      </c>
      <c r="C10" s="77"/>
      <c r="D10" s="40"/>
      <c r="E10" s="40"/>
    </row>
    <row r="11" spans="1:5" x14ac:dyDescent="0.3">
      <c r="A11" s="76" t="s">
        <v>27</v>
      </c>
      <c r="B11" s="40">
        <f>'cp-lambda data from Ashes'!F3</f>
        <v>8.1</v>
      </c>
      <c r="C11" s="77"/>
      <c r="D11" s="40"/>
      <c r="E11" s="40"/>
    </row>
    <row r="12" spans="1:5" x14ac:dyDescent="0.3">
      <c r="A12" s="76"/>
      <c r="B12" s="40"/>
      <c r="C12" s="77"/>
      <c r="D12" s="40"/>
      <c r="E12" s="40"/>
    </row>
    <row r="13" spans="1:5" x14ac:dyDescent="0.3">
      <c r="A13" s="76" t="s">
        <v>5</v>
      </c>
      <c r="B13" s="40">
        <f>'WT Scale'!B11</f>
        <v>11.78312</v>
      </c>
      <c r="C13" s="77" t="s">
        <v>6</v>
      </c>
      <c r="D13" s="40"/>
      <c r="E13" s="40"/>
    </row>
    <row r="14" spans="1:5" ht="14.5" thickBot="1" x14ac:dyDescent="0.35">
      <c r="A14" s="78" t="s">
        <v>28</v>
      </c>
      <c r="B14" s="58">
        <f>30*B11*B13/PI()/B6</f>
        <v>15.990248630292609</v>
      </c>
      <c r="C14" s="79" t="s">
        <v>25</v>
      </c>
      <c r="D14" s="40"/>
      <c r="E14" s="40"/>
    </row>
    <row r="15" spans="1:5" x14ac:dyDescent="0.3">
      <c r="A15" s="40"/>
      <c r="B15" s="40"/>
      <c r="C15" s="40"/>
      <c r="D15" s="40"/>
      <c r="E15" s="40"/>
    </row>
    <row r="16" spans="1:5" x14ac:dyDescent="0.3">
      <c r="A16" s="40"/>
      <c r="B16" s="40"/>
      <c r="C16" s="40"/>
      <c r="D16" s="40"/>
      <c r="E16" s="40"/>
    </row>
    <row r="17" spans="1:5" x14ac:dyDescent="0.3">
      <c r="A17" s="40"/>
      <c r="B17" s="40"/>
      <c r="C17" s="40"/>
      <c r="D17" s="40"/>
      <c r="E17" s="40"/>
    </row>
    <row r="18" spans="1:5" x14ac:dyDescent="0.3">
      <c r="A18" s="40"/>
      <c r="B18" s="40"/>
      <c r="C18" s="40"/>
      <c r="D18" s="40"/>
      <c r="E18" s="40"/>
    </row>
    <row r="19" spans="1:5" x14ac:dyDescent="0.3">
      <c r="A19" s="40"/>
      <c r="B19" s="40"/>
      <c r="C19" s="40"/>
      <c r="D19" s="40"/>
      <c r="E19" s="40"/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5FCE-C368-4FFC-862A-863F81E31A71}">
  <sheetPr>
    <tabColor theme="1" tint="4.9989318521683403E-2"/>
  </sheetPr>
  <dimension ref="A1:P54"/>
  <sheetViews>
    <sheetView zoomScale="55" zoomScaleNormal="55" workbookViewId="0">
      <selection activeCell="J65" sqref="J65"/>
    </sheetView>
  </sheetViews>
  <sheetFormatPr defaultRowHeight="14" x14ac:dyDescent="0.3"/>
  <cols>
    <col min="1" max="1" width="39.83203125" bestFit="1" customWidth="1"/>
    <col min="2" max="2" width="16.1640625" bestFit="1" customWidth="1"/>
  </cols>
  <sheetData>
    <row r="1" spans="1:16" x14ac:dyDescent="0.3">
      <c r="B1" s="32" t="s">
        <v>100</v>
      </c>
      <c r="F1" s="32" t="s">
        <v>134</v>
      </c>
    </row>
    <row r="2" spans="1:16" x14ac:dyDescent="0.3">
      <c r="A2" t="s">
        <v>102</v>
      </c>
      <c r="B2" s="1">
        <v>3000000</v>
      </c>
      <c r="C2" t="s">
        <v>4</v>
      </c>
      <c r="D2" t="s">
        <v>163</v>
      </c>
      <c r="F2" t="s">
        <v>135</v>
      </c>
    </row>
    <row r="3" spans="1:16" x14ac:dyDescent="0.3">
      <c r="A3" t="s">
        <v>136</v>
      </c>
      <c r="B3">
        <v>15</v>
      </c>
      <c r="C3" t="s">
        <v>25</v>
      </c>
      <c r="D3" t="s">
        <v>163</v>
      </c>
      <c r="F3" t="s">
        <v>137</v>
      </c>
      <c r="K3" t="s">
        <v>138</v>
      </c>
      <c r="P3" t="s">
        <v>139</v>
      </c>
    </row>
    <row r="4" spans="1:16" x14ac:dyDescent="0.3">
      <c r="A4" t="s">
        <v>136</v>
      </c>
      <c r="B4" s="3">
        <f>B3*2*PI()/60</f>
        <v>1.5707963267948963</v>
      </c>
      <c r="C4" t="s">
        <v>23</v>
      </c>
    </row>
    <row r="6" spans="1:16" x14ac:dyDescent="0.3">
      <c r="A6" t="s">
        <v>140</v>
      </c>
      <c r="B6" s="1">
        <f>B2/B4</f>
        <v>1909859.3171027445</v>
      </c>
      <c r="C6" t="s">
        <v>106</v>
      </c>
    </row>
    <row r="8" spans="1:16" x14ac:dyDescent="0.3">
      <c r="A8" t="s">
        <v>111</v>
      </c>
      <c r="B8">
        <v>2.5</v>
      </c>
      <c r="C8" t="s">
        <v>12</v>
      </c>
      <c r="D8" t="s">
        <v>164</v>
      </c>
    </row>
    <row r="9" spans="1:16" x14ac:dyDescent="0.3">
      <c r="A9" t="s">
        <v>112</v>
      </c>
      <c r="B9">
        <v>1.2</v>
      </c>
      <c r="C9" t="s">
        <v>12</v>
      </c>
      <c r="D9" t="s">
        <v>164</v>
      </c>
    </row>
    <row r="10" spans="1:16" x14ac:dyDescent="0.3">
      <c r="A10" t="s">
        <v>107</v>
      </c>
      <c r="B10" s="4">
        <f>B8/B9</f>
        <v>2.0833333333333335</v>
      </c>
      <c r="C10" s="33" t="s">
        <v>141</v>
      </c>
    </row>
    <row r="12" spans="1:16" x14ac:dyDescent="0.3">
      <c r="A12" t="s">
        <v>142</v>
      </c>
      <c r="B12" s="1">
        <f>B6/B8</f>
        <v>763943.72684109781</v>
      </c>
      <c r="C12" t="s">
        <v>143</v>
      </c>
    </row>
    <row r="13" spans="1:16" ht="14.5" x14ac:dyDescent="0.35">
      <c r="A13" t="s">
        <v>113</v>
      </c>
      <c r="B13" s="4">
        <f>2*PI()*B8*B9</f>
        <v>18.849555921538759</v>
      </c>
      <c r="C13" t="s">
        <v>144</v>
      </c>
    </row>
    <row r="14" spans="1:16" ht="14.5" x14ac:dyDescent="0.35">
      <c r="A14" t="s">
        <v>108</v>
      </c>
      <c r="B14" s="1">
        <f>B12/B13</f>
        <v>40528.47345693512</v>
      </c>
      <c r="C14" t="s">
        <v>109</v>
      </c>
    </row>
    <row r="16" spans="1:16" x14ac:dyDescent="0.3">
      <c r="A16" t="s">
        <v>117</v>
      </c>
      <c r="B16">
        <v>18.100000000000001</v>
      </c>
      <c r="C16" t="s">
        <v>118</v>
      </c>
      <c r="D16" t="s">
        <v>164</v>
      </c>
    </row>
    <row r="17" spans="1:4" x14ac:dyDescent="0.3">
      <c r="A17" t="s">
        <v>120</v>
      </c>
      <c r="B17">
        <v>4.3</v>
      </c>
      <c r="C17" t="s">
        <v>118</v>
      </c>
      <c r="D17" t="s">
        <v>164</v>
      </c>
    </row>
    <row r="18" spans="1:4" x14ac:dyDescent="0.3">
      <c r="A18" t="s">
        <v>145</v>
      </c>
      <c r="B18">
        <v>1.7</v>
      </c>
      <c r="C18" t="s">
        <v>118</v>
      </c>
      <c r="D18" t="s">
        <v>164</v>
      </c>
    </row>
    <row r="20" spans="1:4" x14ac:dyDescent="0.3">
      <c r="A20" t="s">
        <v>146</v>
      </c>
      <c r="B20" s="2">
        <f>B16/B13</f>
        <v>0.96023482332110199</v>
      </c>
      <c r="C20" t="s">
        <v>147</v>
      </c>
    </row>
    <row r="21" spans="1:4" x14ac:dyDescent="0.3">
      <c r="A21" t="s">
        <v>148</v>
      </c>
      <c r="B21" s="2">
        <f>B17/B13</f>
        <v>0.2281220850983833</v>
      </c>
      <c r="C21" t="s">
        <v>147</v>
      </c>
    </row>
    <row r="22" spans="1:4" x14ac:dyDescent="0.3">
      <c r="A22" t="s">
        <v>149</v>
      </c>
      <c r="B22" s="2">
        <f>B18/B13</f>
        <v>9.018780108540736E-2</v>
      </c>
      <c r="C22" t="s">
        <v>147</v>
      </c>
    </row>
    <row r="24" spans="1:4" x14ac:dyDescent="0.3">
      <c r="A24" t="s">
        <v>150</v>
      </c>
      <c r="B24">
        <v>80</v>
      </c>
      <c r="C24" s="33" t="s">
        <v>141</v>
      </c>
      <c r="D24" t="s">
        <v>164</v>
      </c>
    </row>
    <row r="25" spans="1:4" x14ac:dyDescent="0.3">
      <c r="A25" t="s">
        <v>151</v>
      </c>
      <c r="B25">
        <f>2*B24</f>
        <v>160</v>
      </c>
      <c r="C25" s="33" t="s">
        <v>141</v>
      </c>
    </row>
    <row r="27" spans="1:4" x14ac:dyDescent="0.3">
      <c r="A27" t="s">
        <v>129</v>
      </c>
      <c r="B27" s="2">
        <f>2*PI()*B8/B25</f>
        <v>9.8174770424681035E-2</v>
      </c>
      <c r="C27" t="s">
        <v>12</v>
      </c>
    </row>
    <row r="48" spans="1:3" x14ac:dyDescent="0.3">
      <c r="A48" t="s">
        <v>152</v>
      </c>
      <c r="B48" s="1">
        <v>15000</v>
      </c>
      <c r="C48" t="s">
        <v>4</v>
      </c>
    </row>
    <row r="49" spans="1:3" x14ac:dyDescent="0.3">
      <c r="B49" s="1"/>
    </row>
    <row r="50" spans="1:3" x14ac:dyDescent="0.3">
      <c r="A50" t="s">
        <v>153</v>
      </c>
      <c r="B50" s="1">
        <v>110000</v>
      </c>
      <c r="C50" t="s">
        <v>4</v>
      </c>
    </row>
    <row r="52" spans="1:3" x14ac:dyDescent="0.3">
      <c r="A52" t="s">
        <v>154</v>
      </c>
      <c r="B52" s="4">
        <f>B48/B13</f>
        <v>795.77471545947674</v>
      </c>
      <c r="C52" t="s">
        <v>155</v>
      </c>
    </row>
    <row r="53" spans="1:3" x14ac:dyDescent="0.3">
      <c r="A53" t="s">
        <v>156</v>
      </c>
      <c r="B53" s="1">
        <f>B50/B13</f>
        <v>5835.6812467028294</v>
      </c>
      <c r="C53" t="s">
        <v>155</v>
      </c>
    </row>
    <row r="54" spans="1:3" x14ac:dyDescent="0.3">
      <c r="A54" t="s">
        <v>157</v>
      </c>
      <c r="B54" s="1">
        <f>B52+B53</f>
        <v>6631.4559621623066</v>
      </c>
      <c r="C54" t="str">
        <f>C53</f>
        <v>W/m2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61-14F3-41BD-8077-AACA3BA7DFA6}">
  <dimension ref="A1"/>
  <sheetViews>
    <sheetView workbookViewId="0">
      <selection activeCell="B39" sqref="B39"/>
    </sheetView>
  </sheetViews>
  <sheetFormatPr defaultRowHeight="14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65F0-A722-4579-A197-6E87E0565398}">
  <dimension ref="A1:CC147"/>
  <sheetViews>
    <sheetView zoomScale="55" zoomScaleNormal="55" workbookViewId="0">
      <selection activeCell="A101" sqref="A101:C101"/>
    </sheetView>
  </sheetViews>
  <sheetFormatPr defaultColWidth="8.4140625" defaultRowHeight="14" x14ac:dyDescent="0.3"/>
  <cols>
    <col min="1" max="1" width="14.58203125" style="5" customWidth="1"/>
    <col min="2" max="2" width="32.5" style="5" customWidth="1"/>
    <col min="3" max="3" width="14.58203125" style="5" customWidth="1"/>
    <col min="4" max="4" width="19" style="5" customWidth="1"/>
    <col min="5" max="5" width="13" customWidth="1"/>
    <col min="6" max="6" width="17" customWidth="1"/>
    <col min="7" max="7" width="10.25" style="5" customWidth="1"/>
    <col min="8" max="8" width="11.6640625" style="5" customWidth="1"/>
    <col min="9" max="9" width="10.9140625" style="5" customWidth="1"/>
    <col min="10" max="10" width="12.33203125" style="5" customWidth="1"/>
    <col min="11" max="11" width="10" style="5" bestFit="1" customWidth="1"/>
    <col min="12" max="12" width="9.58203125" style="5" customWidth="1"/>
    <col min="13" max="13" width="9.33203125" style="5" customWidth="1"/>
    <col min="14" max="14" width="8.4140625" style="5"/>
    <col min="15" max="15" width="9" style="5" bestFit="1" customWidth="1"/>
    <col min="16" max="18" width="8.4140625" style="5"/>
    <col min="19" max="19" width="11.1640625" style="5" customWidth="1"/>
    <col min="20" max="20" width="12.83203125" style="5" customWidth="1"/>
    <col min="21" max="21" width="13.25" style="5" customWidth="1"/>
    <col min="22" max="22" width="14.5" style="5" customWidth="1"/>
    <col min="23" max="23" width="31.83203125" style="5" customWidth="1"/>
    <col min="24" max="24" width="58.1640625" style="5" customWidth="1"/>
    <col min="25" max="25" width="8.4140625" style="5"/>
    <col min="26" max="26" width="13.33203125" style="5" customWidth="1"/>
    <col min="27" max="27" width="8.5" style="5" bestFit="1" customWidth="1"/>
    <col min="28" max="28" width="24" style="5" customWidth="1"/>
    <col min="29" max="32" width="8.5" style="5" bestFit="1" customWidth="1"/>
    <col min="33" max="33" width="8.9140625" style="5" bestFit="1" customWidth="1"/>
    <col min="34" max="35" width="8.58203125" style="5" bestFit="1" customWidth="1"/>
    <col min="36" max="42" width="8.5" style="5" bestFit="1" customWidth="1"/>
    <col min="43" max="43" width="10.33203125" style="5" customWidth="1"/>
    <col min="44" max="44" width="9.33203125" style="5" bestFit="1" customWidth="1"/>
    <col min="45" max="45" width="11.1640625" style="5" customWidth="1"/>
    <col min="46" max="49" width="8.5" style="5" bestFit="1" customWidth="1"/>
    <col min="50" max="50" width="12.83203125" style="5" customWidth="1"/>
    <col min="51" max="73" width="8.5" style="5" bestFit="1" customWidth="1"/>
    <col min="74" max="74" width="9" style="5" bestFit="1" customWidth="1"/>
    <col min="75" max="75" width="8.5" style="5" bestFit="1" customWidth="1"/>
    <col min="76" max="76" width="11.08203125" style="5" customWidth="1"/>
    <col min="77" max="77" width="8.5" style="5" bestFit="1" customWidth="1"/>
    <col min="78" max="78" width="11.08203125" style="5" customWidth="1"/>
    <col min="79" max="79" width="8.5" style="5" bestFit="1" customWidth="1"/>
    <col min="80" max="80" width="11.25" style="5" bestFit="1" customWidth="1"/>
    <col min="81" max="16384" width="8.4140625" style="5"/>
  </cols>
  <sheetData>
    <row r="1" spans="1:81" ht="39" x14ac:dyDescent="0.3">
      <c r="A1" s="8" t="s">
        <v>55</v>
      </c>
      <c r="B1" s="9" t="s">
        <v>46</v>
      </c>
      <c r="C1" s="10" t="s">
        <v>45</v>
      </c>
      <c r="D1" s="10" t="s">
        <v>99</v>
      </c>
      <c r="E1" s="11" t="s">
        <v>56</v>
      </c>
      <c r="F1" s="12" t="s">
        <v>57</v>
      </c>
      <c r="G1" s="10" t="s">
        <v>43</v>
      </c>
      <c r="H1" s="10" t="s">
        <v>42</v>
      </c>
      <c r="I1" s="10" t="s">
        <v>41</v>
      </c>
      <c r="J1" s="10" t="s">
        <v>40</v>
      </c>
      <c r="K1" s="13" t="s">
        <v>381</v>
      </c>
      <c r="L1" s="6" t="s">
        <v>201</v>
      </c>
      <c r="M1" s="16" t="s">
        <v>59</v>
      </c>
      <c r="N1" s="9" t="s">
        <v>60</v>
      </c>
      <c r="O1" s="17" t="s">
        <v>61</v>
      </c>
      <c r="R1" s="28" t="s">
        <v>45</v>
      </c>
      <c r="S1" s="10" t="s">
        <v>44</v>
      </c>
      <c r="T1" s="25" t="s">
        <v>98</v>
      </c>
      <c r="U1" s="25" t="s">
        <v>99</v>
      </c>
      <c r="V1" s="36" t="s">
        <v>353</v>
      </c>
      <c r="Z1" s="217" t="s">
        <v>271</v>
      </c>
      <c r="AA1" s="109"/>
      <c r="AB1" s="109"/>
      <c r="AC1" s="109"/>
      <c r="AD1" s="109"/>
      <c r="AE1" s="109"/>
      <c r="AF1" s="109"/>
      <c r="AG1" s="11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/>
    </row>
    <row r="2" spans="1:81" x14ac:dyDescent="0.3">
      <c r="A2" s="169"/>
      <c r="C2" s="170" t="s">
        <v>38</v>
      </c>
      <c r="D2" s="170" t="s">
        <v>39</v>
      </c>
      <c r="E2" s="170" t="s">
        <v>38</v>
      </c>
      <c r="F2" s="170" t="s">
        <v>58</v>
      </c>
      <c r="G2" s="170" t="s">
        <v>38</v>
      </c>
      <c r="H2" s="170" t="s">
        <v>38</v>
      </c>
      <c r="I2" s="170" t="s">
        <v>37</v>
      </c>
      <c r="J2" s="170" t="s">
        <v>36</v>
      </c>
      <c r="K2" s="171" t="s">
        <v>62</v>
      </c>
      <c r="L2" s="172">
        <v>80</v>
      </c>
      <c r="M2" s="173" t="s">
        <v>38</v>
      </c>
      <c r="N2" s="170" t="s">
        <v>38</v>
      </c>
      <c r="O2" s="171" t="s">
        <v>38</v>
      </c>
      <c r="R2" s="173" t="s">
        <v>38</v>
      </c>
      <c r="S2" s="170" t="s">
        <v>39</v>
      </c>
      <c r="T2" s="170" t="s">
        <v>39</v>
      </c>
      <c r="U2" s="170" t="s">
        <v>39</v>
      </c>
      <c r="V2" s="174" t="s">
        <v>354</v>
      </c>
      <c r="Z2" s="76" t="s">
        <v>272</v>
      </c>
      <c r="AA2" s="40">
        <f>'Rotor Scale'!B8</f>
        <v>13.06786080387964</v>
      </c>
      <c r="AB2" s="40" t="s">
        <v>25</v>
      </c>
      <c r="AC2" s="40"/>
      <c r="AD2" s="40" t="s">
        <v>273</v>
      </c>
      <c r="AF2" s="41">
        <f>'WT Scale'!B20</f>
        <v>1.3571010749716905</v>
      </c>
      <c r="AG2" s="77" t="s">
        <v>12</v>
      </c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/>
    </row>
    <row r="3" spans="1:81" x14ac:dyDescent="0.3">
      <c r="A3" s="169">
        <v>2</v>
      </c>
      <c r="B3" s="19" t="s">
        <v>73</v>
      </c>
      <c r="C3" s="175">
        <v>1.236</v>
      </c>
      <c r="D3" s="20">
        <f t="shared" ref="D3:D20" si="0">U3</f>
        <v>16203.321750000001</v>
      </c>
      <c r="E3" s="21">
        <v>3.2050000000000001</v>
      </c>
      <c r="F3" s="7">
        <v>1</v>
      </c>
      <c r="G3" s="175">
        <f>E3*F3</f>
        <v>3.2050000000000001</v>
      </c>
      <c r="H3" s="175">
        <f>0.6*0.89</f>
        <v>0.53400000000000003</v>
      </c>
      <c r="I3" s="176">
        <f>(((-N3)-SQRT(N3^2-(4*M3*O3)))/2/M3)*1000</f>
        <v>128.67588306800423</v>
      </c>
      <c r="J3" s="177">
        <f>D3*10^3*(G3/2)/K3</f>
        <v>0.32457278880468754</v>
      </c>
      <c r="K3" s="178">
        <f t="shared" ref="K3:K20" si="1">$L$2*10^6</f>
        <v>80000000</v>
      </c>
      <c r="M3" s="179">
        <f>H3</f>
        <v>0.53400000000000003</v>
      </c>
      <c r="N3" s="5">
        <f>-H3*G3/2</f>
        <v>-0.85573500000000002</v>
      </c>
      <c r="O3" s="180">
        <f>D3*1000/2/K3</f>
        <v>0.10127076093750001</v>
      </c>
      <c r="R3" s="181">
        <v>1.236</v>
      </c>
      <c r="S3" s="20">
        <v>8927.4500000000007</v>
      </c>
      <c r="T3" s="35">
        <f>S3*1.5</f>
        <v>13391.175000000001</v>
      </c>
      <c r="U3" s="35">
        <f>T3*1.21</f>
        <v>16203.321750000001</v>
      </c>
      <c r="V3" s="182">
        <f>CB9/1000</f>
        <v>7487.8724453191353</v>
      </c>
      <c r="Z3" s="76" t="s">
        <v>274</v>
      </c>
      <c r="AA3" s="40">
        <v>11</v>
      </c>
      <c r="AB3" s="40" t="s">
        <v>6</v>
      </c>
      <c r="AC3" s="40"/>
      <c r="AD3" s="40"/>
      <c r="AE3" s="40"/>
      <c r="AF3" s="40"/>
      <c r="AG3" s="77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/>
    </row>
    <row r="4" spans="1:81" x14ac:dyDescent="0.3">
      <c r="A4" s="169">
        <v>3</v>
      </c>
      <c r="B4" s="19" t="s">
        <v>47</v>
      </c>
      <c r="C4" s="21">
        <v>3.7090000000000001</v>
      </c>
      <c r="D4" s="20">
        <f t="shared" si="0"/>
        <v>14863.397999999999</v>
      </c>
      <c r="E4" s="21">
        <v>3.4870000000000001</v>
      </c>
      <c r="F4" s="7">
        <v>1</v>
      </c>
      <c r="G4" s="175">
        <f t="shared" ref="G4:G20" si="2">E4*F4</f>
        <v>3.4870000000000001</v>
      </c>
      <c r="H4" s="175">
        <f t="shared" ref="H4:H20" si="3">0.6*0.89</f>
        <v>0.53400000000000003</v>
      </c>
      <c r="I4" s="176">
        <f t="shared" ref="I4:I20" si="4">(((-N4)-SQRT(N4^2-(4*M4*O4)))/2/M4)*1000</f>
        <v>106.25338281154606</v>
      </c>
      <c r="J4" s="177">
        <f t="shared" ref="J4:J20" si="5">D4*10^3*(G4/2)/K4</f>
        <v>0.32392918016250005</v>
      </c>
      <c r="K4" s="178">
        <f t="shared" si="1"/>
        <v>80000000</v>
      </c>
      <c r="M4" s="179">
        <f t="shared" ref="M4:M20" si="6">H4</f>
        <v>0.53400000000000003</v>
      </c>
      <c r="N4" s="5">
        <f t="shared" ref="N4:N20" si="7">-H4*G4/2</f>
        <v>-0.93102900000000011</v>
      </c>
      <c r="O4" s="180">
        <f t="shared" ref="O4:O20" si="8">D4*1000/2/K4</f>
        <v>9.2896237500000006E-2</v>
      </c>
      <c r="R4" s="29">
        <v>3.7090000000000001</v>
      </c>
      <c r="S4" s="20">
        <v>8189.2</v>
      </c>
      <c r="T4" s="35">
        <f t="shared" ref="T4:T20" si="9">S4*1.5</f>
        <v>12283.8</v>
      </c>
      <c r="U4" s="35">
        <f t="shared" ref="U4:U20" si="10">T4*1.21</f>
        <v>14863.397999999999</v>
      </c>
      <c r="V4" s="182">
        <f t="shared" ref="V4:V20" si="11">CB10/1000</f>
        <v>7124.3925491494656</v>
      </c>
      <c r="Z4" s="76" t="s">
        <v>355</v>
      </c>
      <c r="AA4" s="40">
        <v>1.2250000000000001</v>
      </c>
      <c r="AB4" s="40" t="s">
        <v>8</v>
      </c>
      <c r="AC4" s="40"/>
      <c r="AD4" s="40"/>
      <c r="AE4" s="40"/>
      <c r="AF4" s="40"/>
      <c r="AG4" s="77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/>
    </row>
    <row r="5" spans="1:81" ht="14.5" thickBot="1" x14ac:dyDescent="0.35">
      <c r="A5" s="169">
        <v>4</v>
      </c>
      <c r="B5" s="19" t="s">
        <v>48</v>
      </c>
      <c r="C5" s="21">
        <v>6.1820000000000004</v>
      </c>
      <c r="D5" s="20">
        <f t="shared" si="0"/>
        <v>13542.876600000001</v>
      </c>
      <c r="E5" s="21">
        <v>3.77</v>
      </c>
      <c r="F5" s="7">
        <v>1</v>
      </c>
      <c r="G5" s="175">
        <f t="shared" si="2"/>
        <v>3.77</v>
      </c>
      <c r="H5" s="175">
        <f t="shared" si="3"/>
        <v>0.53400000000000003</v>
      </c>
      <c r="I5" s="176">
        <f t="shared" si="4"/>
        <v>88.217377469667142</v>
      </c>
      <c r="J5" s="177">
        <f t="shared" si="5"/>
        <v>0.31910402988750003</v>
      </c>
      <c r="K5" s="178">
        <f t="shared" si="1"/>
        <v>80000000</v>
      </c>
      <c r="M5" s="179">
        <f t="shared" si="6"/>
        <v>0.53400000000000003</v>
      </c>
      <c r="N5" s="5">
        <f t="shared" si="7"/>
        <v>-1.0065900000000001</v>
      </c>
      <c r="O5" s="180">
        <f t="shared" si="8"/>
        <v>8.4642978750000014E-2</v>
      </c>
      <c r="R5" s="29">
        <v>6.1820000000000004</v>
      </c>
      <c r="S5" s="20">
        <v>7461.64</v>
      </c>
      <c r="T5" s="35">
        <f t="shared" si="9"/>
        <v>11192.460000000001</v>
      </c>
      <c r="U5" s="35">
        <f t="shared" si="10"/>
        <v>13542.876600000001</v>
      </c>
      <c r="V5" s="182">
        <f t="shared" si="11"/>
        <v>6639.9601087283554</v>
      </c>
      <c r="Z5" s="78"/>
      <c r="AA5" s="57"/>
      <c r="AB5" s="57"/>
      <c r="AC5" s="57"/>
      <c r="AD5" s="57"/>
      <c r="AE5" s="57"/>
      <c r="AF5" s="57"/>
      <c r="AG5" s="79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/>
    </row>
    <row r="6" spans="1:81" ht="14.5" thickBot="1" x14ac:dyDescent="0.35">
      <c r="A6" s="169">
        <v>5</v>
      </c>
      <c r="B6" s="19" t="s">
        <v>49</v>
      </c>
      <c r="C6" s="21">
        <v>9.2729999999999997</v>
      </c>
      <c r="D6" s="20">
        <f t="shared" si="0"/>
        <v>11928.706349999999</v>
      </c>
      <c r="E6" s="21">
        <v>4.1230000000000002</v>
      </c>
      <c r="F6" s="7">
        <v>0.40500000000000003</v>
      </c>
      <c r="G6" s="175">
        <f t="shared" si="2"/>
        <v>1.6698150000000003</v>
      </c>
      <c r="H6" s="175">
        <f t="shared" si="3"/>
        <v>0.53400000000000003</v>
      </c>
      <c r="I6" s="176">
        <f t="shared" si="4"/>
        <v>231.30159553765517</v>
      </c>
      <c r="J6" s="177">
        <f t="shared" si="5"/>
        <v>0.12449207996140782</v>
      </c>
      <c r="K6" s="178">
        <f t="shared" si="1"/>
        <v>80000000</v>
      </c>
      <c r="M6" s="179">
        <f t="shared" si="6"/>
        <v>0.53400000000000003</v>
      </c>
      <c r="N6" s="5">
        <f t="shared" si="7"/>
        <v>-0.44584060500000011</v>
      </c>
      <c r="O6" s="180">
        <f t="shared" si="8"/>
        <v>7.4554414687499987E-2</v>
      </c>
      <c r="R6" s="29">
        <v>9.2729999999999997</v>
      </c>
      <c r="S6" s="20">
        <v>6572.29</v>
      </c>
      <c r="T6" s="35">
        <f t="shared" si="9"/>
        <v>9858.4349999999995</v>
      </c>
      <c r="U6" s="35">
        <f t="shared" si="10"/>
        <v>11928.706349999999</v>
      </c>
      <c r="V6" s="182">
        <f t="shared" si="11"/>
        <v>6095.637037491786</v>
      </c>
      <c r="Z6" s="82"/>
      <c r="AA6" s="83"/>
      <c r="AB6" s="257" t="s">
        <v>275</v>
      </c>
      <c r="AC6" s="258"/>
      <c r="AD6" s="258"/>
      <c r="AE6" s="258"/>
      <c r="AF6" s="259"/>
      <c r="AG6" s="260" t="s">
        <v>276</v>
      </c>
      <c r="AH6" s="261"/>
      <c r="AI6" s="262"/>
      <c r="AJ6" s="263" t="s">
        <v>277</v>
      </c>
      <c r="AK6" s="264"/>
      <c r="AL6" s="264"/>
      <c r="AM6" s="264"/>
      <c r="AN6" s="264"/>
      <c r="AO6" s="264"/>
      <c r="AP6" s="264"/>
      <c r="AQ6" s="264"/>
      <c r="AR6" s="264"/>
      <c r="AS6" s="264"/>
      <c r="AT6" s="265"/>
      <c r="AU6" s="266" t="s">
        <v>278</v>
      </c>
      <c r="AV6" s="267"/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267"/>
      <c r="BH6" s="267"/>
      <c r="BI6" s="267"/>
      <c r="BJ6" s="267"/>
      <c r="BK6" s="267"/>
      <c r="BL6" s="267"/>
      <c r="BM6" s="267"/>
      <c r="BN6" s="267"/>
      <c r="BO6" s="267"/>
      <c r="BP6" s="267"/>
      <c r="BQ6" s="267"/>
      <c r="BR6" s="267"/>
      <c r="BS6" s="267"/>
      <c r="BT6" s="267"/>
      <c r="BU6" s="267"/>
      <c r="BV6" s="267"/>
      <c r="BW6" s="267"/>
      <c r="BX6" s="267"/>
      <c r="BY6" s="267"/>
      <c r="BZ6" s="267"/>
      <c r="CA6" s="268"/>
      <c r="CB6" s="84"/>
      <c r="CC6"/>
    </row>
    <row r="7" spans="1:81" ht="56.5" thickBot="1" x14ac:dyDescent="0.35">
      <c r="A7" s="169">
        <v>6</v>
      </c>
      <c r="B7" s="19" t="s">
        <v>50</v>
      </c>
      <c r="C7" s="21">
        <v>12.983000000000001</v>
      </c>
      <c r="D7" s="20">
        <f t="shared" si="0"/>
        <v>10143.7446</v>
      </c>
      <c r="E7" s="21">
        <v>4.2089999999999996</v>
      </c>
      <c r="F7" s="7">
        <v>0.35099999999999998</v>
      </c>
      <c r="G7" s="175">
        <f t="shared" si="2"/>
        <v>1.4773589999999999</v>
      </c>
      <c r="H7" s="175">
        <f t="shared" si="3"/>
        <v>0.53400000000000003</v>
      </c>
      <c r="I7" s="176">
        <f t="shared" si="4"/>
        <v>236.34257558650876</v>
      </c>
      <c r="J7" s="177">
        <f t="shared" si="5"/>
        <v>9.3662202365696237E-2</v>
      </c>
      <c r="K7" s="178">
        <f t="shared" si="1"/>
        <v>80000000</v>
      </c>
      <c r="M7" s="179">
        <f t="shared" si="6"/>
        <v>0.53400000000000003</v>
      </c>
      <c r="N7" s="5">
        <f t="shared" si="7"/>
        <v>-0.39445485299999999</v>
      </c>
      <c r="O7" s="180">
        <f t="shared" si="8"/>
        <v>6.3398403749999999E-2</v>
      </c>
      <c r="R7" s="29">
        <v>12.983000000000001</v>
      </c>
      <c r="S7" s="20">
        <v>5588.84</v>
      </c>
      <c r="T7" s="35">
        <f t="shared" si="9"/>
        <v>8383.26</v>
      </c>
      <c r="U7" s="35">
        <f t="shared" si="10"/>
        <v>10143.7446</v>
      </c>
      <c r="V7" s="182">
        <f t="shared" si="11"/>
        <v>5432.021493408578</v>
      </c>
      <c r="Z7" s="80" t="s">
        <v>279</v>
      </c>
      <c r="AA7" s="81" t="s">
        <v>280</v>
      </c>
      <c r="AB7" s="64" t="s">
        <v>281</v>
      </c>
      <c r="AC7" s="65" t="s">
        <v>282</v>
      </c>
      <c r="AD7" s="65" t="s">
        <v>356</v>
      </c>
      <c r="AE7" s="65" t="s">
        <v>283</v>
      </c>
      <c r="AF7" s="66" t="s">
        <v>284</v>
      </c>
      <c r="AG7" s="67" t="s">
        <v>357</v>
      </c>
      <c r="AH7" s="68" t="s">
        <v>358</v>
      </c>
      <c r="AI7" s="69" t="s">
        <v>285</v>
      </c>
      <c r="AJ7" s="70" t="s">
        <v>357</v>
      </c>
      <c r="AK7" s="71" t="s">
        <v>286</v>
      </c>
      <c r="AL7" s="71" t="s">
        <v>287</v>
      </c>
      <c r="AM7" s="71" t="s">
        <v>288</v>
      </c>
      <c r="AN7" s="71" t="s">
        <v>289</v>
      </c>
      <c r="AO7" s="71" t="s">
        <v>290</v>
      </c>
      <c r="AP7" s="71" t="s">
        <v>291</v>
      </c>
      <c r="AQ7" s="71" t="s">
        <v>292</v>
      </c>
      <c r="AR7" s="71" t="s">
        <v>293</v>
      </c>
      <c r="AS7" s="71" t="s">
        <v>294</v>
      </c>
      <c r="AT7" s="213" t="s">
        <v>295</v>
      </c>
      <c r="AU7" s="72" t="s">
        <v>296</v>
      </c>
      <c r="AV7" s="73" t="s">
        <v>297</v>
      </c>
      <c r="AW7" s="73" t="s">
        <v>298</v>
      </c>
      <c r="AX7" s="73" t="s">
        <v>359</v>
      </c>
      <c r="AY7" s="73" t="s">
        <v>299</v>
      </c>
      <c r="AZ7" s="73" t="s">
        <v>274</v>
      </c>
      <c r="BA7" s="73" t="s">
        <v>300</v>
      </c>
      <c r="BB7" s="73" t="s">
        <v>301</v>
      </c>
      <c r="BC7" s="73" t="s">
        <v>302</v>
      </c>
      <c r="BD7" s="73" t="s">
        <v>303</v>
      </c>
      <c r="BE7" s="73" t="s">
        <v>303</v>
      </c>
      <c r="BF7" s="73" t="s">
        <v>360</v>
      </c>
      <c r="BG7" s="73" t="s">
        <v>360</v>
      </c>
      <c r="BH7" s="73" t="s">
        <v>361</v>
      </c>
      <c r="BI7" s="73" t="s">
        <v>304</v>
      </c>
      <c r="BJ7" s="73" t="s">
        <v>304</v>
      </c>
      <c r="BK7" s="73" t="s">
        <v>305</v>
      </c>
      <c r="BL7" s="73" t="s">
        <v>306</v>
      </c>
      <c r="BM7" s="73" t="s">
        <v>306</v>
      </c>
      <c r="BN7" s="73" t="s">
        <v>307</v>
      </c>
      <c r="BO7" s="73" t="s">
        <v>308</v>
      </c>
      <c r="BP7" s="73" t="s">
        <v>308</v>
      </c>
      <c r="BQ7" s="73" t="s">
        <v>309</v>
      </c>
      <c r="BR7" s="73" t="s">
        <v>310</v>
      </c>
      <c r="BS7" s="73" t="s">
        <v>311</v>
      </c>
      <c r="BT7" s="73" t="s">
        <v>311</v>
      </c>
      <c r="BU7" s="73" t="s">
        <v>312</v>
      </c>
      <c r="BV7" s="73" t="s">
        <v>313</v>
      </c>
      <c r="BW7" s="73" t="s">
        <v>313</v>
      </c>
      <c r="BX7" s="73" t="s">
        <v>314</v>
      </c>
      <c r="BY7" s="73"/>
      <c r="BZ7" s="73" t="s">
        <v>315</v>
      </c>
      <c r="CA7" s="74"/>
      <c r="CB7" s="75" t="s">
        <v>295</v>
      </c>
      <c r="CC7" s="34"/>
    </row>
    <row r="8" spans="1:81" ht="14.5" thickBot="1" x14ac:dyDescent="0.35">
      <c r="A8" s="169">
        <v>7</v>
      </c>
      <c r="B8" s="19" t="s">
        <v>50</v>
      </c>
      <c r="C8" s="21">
        <v>16.692</v>
      </c>
      <c r="D8" s="20">
        <f t="shared" si="0"/>
        <v>8509.1011500000004</v>
      </c>
      <c r="E8" s="21">
        <v>4.0330000000000004</v>
      </c>
      <c r="F8" s="7">
        <v>0.35099999999999998</v>
      </c>
      <c r="G8" s="175">
        <f t="shared" si="2"/>
        <v>1.415583</v>
      </c>
      <c r="H8" s="175">
        <f t="shared" si="3"/>
        <v>0.53400000000000003</v>
      </c>
      <c r="I8" s="176">
        <f t="shared" si="4"/>
        <v>193.73750890358869</v>
      </c>
      <c r="J8" s="177">
        <f t="shared" si="5"/>
        <v>7.5283368332627817E-2</v>
      </c>
      <c r="K8" s="178">
        <f t="shared" si="1"/>
        <v>80000000</v>
      </c>
      <c r="M8" s="179">
        <f t="shared" si="6"/>
        <v>0.53400000000000003</v>
      </c>
      <c r="N8" s="5">
        <f t="shared" si="7"/>
        <v>-0.37796066100000003</v>
      </c>
      <c r="O8" s="180">
        <f t="shared" si="8"/>
        <v>5.3181882187500001E-2</v>
      </c>
      <c r="R8" s="29">
        <v>16.692</v>
      </c>
      <c r="S8" s="20">
        <v>4688.21</v>
      </c>
      <c r="T8" s="35">
        <f t="shared" si="9"/>
        <v>7032.3150000000005</v>
      </c>
      <c r="U8" s="35">
        <f t="shared" si="10"/>
        <v>8509.1011500000004</v>
      </c>
      <c r="V8" s="182">
        <f t="shared" si="11"/>
        <v>4722.4383461346852</v>
      </c>
      <c r="Z8" s="85"/>
      <c r="AA8" s="86"/>
      <c r="AB8" s="87"/>
      <c r="AC8" s="88" t="s">
        <v>12</v>
      </c>
      <c r="AD8" s="88" t="s">
        <v>316</v>
      </c>
      <c r="AE8" s="88" t="s">
        <v>12</v>
      </c>
      <c r="AF8" s="89" t="s">
        <v>12</v>
      </c>
      <c r="AG8" s="90" t="s">
        <v>316</v>
      </c>
      <c r="AH8" s="91" t="s">
        <v>316</v>
      </c>
      <c r="AI8" s="92"/>
      <c r="AJ8" s="93" t="s">
        <v>316</v>
      </c>
      <c r="AK8" s="94" t="s">
        <v>141</v>
      </c>
      <c r="AL8" s="94" t="s">
        <v>141</v>
      </c>
      <c r="AM8" s="95" t="s">
        <v>6</v>
      </c>
      <c r="AN8" s="95" t="s">
        <v>6</v>
      </c>
      <c r="AO8" s="95"/>
      <c r="AP8" s="95" t="s">
        <v>6</v>
      </c>
      <c r="AQ8" s="95" t="s">
        <v>317</v>
      </c>
      <c r="AR8" s="95" t="s">
        <v>317</v>
      </c>
      <c r="AS8" s="95" t="s">
        <v>317</v>
      </c>
      <c r="AT8" s="214" t="s">
        <v>318</v>
      </c>
      <c r="AU8" s="96" t="s">
        <v>12</v>
      </c>
      <c r="AV8" s="97" t="s">
        <v>12</v>
      </c>
      <c r="AW8" s="97" t="s">
        <v>12</v>
      </c>
      <c r="AX8" s="97" t="s">
        <v>23</v>
      </c>
      <c r="AY8" s="97" t="s">
        <v>6</v>
      </c>
      <c r="AZ8" s="97" t="s">
        <v>6</v>
      </c>
      <c r="BA8" s="98" t="s">
        <v>141</v>
      </c>
      <c r="BB8" s="98" t="s">
        <v>6</v>
      </c>
      <c r="BC8" s="97" t="s">
        <v>6</v>
      </c>
      <c r="BD8" s="97" t="s">
        <v>6</v>
      </c>
      <c r="BE8" s="97" t="s">
        <v>319</v>
      </c>
      <c r="BF8" s="97" t="s">
        <v>320</v>
      </c>
      <c r="BG8" s="97" t="s">
        <v>316</v>
      </c>
      <c r="BH8" s="97" t="s">
        <v>316</v>
      </c>
      <c r="BI8" s="97" t="s">
        <v>316</v>
      </c>
      <c r="BJ8" s="97" t="s">
        <v>319</v>
      </c>
      <c r="BK8" s="97" t="s">
        <v>317</v>
      </c>
      <c r="BL8" s="97" t="s">
        <v>317</v>
      </c>
      <c r="BM8" s="97" t="s">
        <v>319</v>
      </c>
      <c r="BN8" s="97" t="s">
        <v>317</v>
      </c>
      <c r="BO8" s="97" t="s">
        <v>317</v>
      </c>
      <c r="BP8" s="97" t="s">
        <v>319</v>
      </c>
      <c r="BQ8" s="97" t="s">
        <v>317</v>
      </c>
      <c r="BR8" s="97" t="s">
        <v>317</v>
      </c>
      <c r="BS8" s="97" t="s">
        <v>317</v>
      </c>
      <c r="BT8" s="97" t="s">
        <v>319</v>
      </c>
      <c r="BU8" s="97" t="s">
        <v>317</v>
      </c>
      <c r="BV8" s="97" t="s">
        <v>317</v>
      </c>
      <c r="BW8" s="97" t="s">
        <v>319</v>
      </c>
      <c r="BX8" s="97" t="s">
        <v>143</v>
      </c>
      <c r="BY8" s="97"/>
      <c r="BZ8" s="97" t="s">
        <v>106</v>
      </c>
      <c r="CA8" s="99"/>
      <c r="CB8" s="100" t="s">
        <v>321</v>
      </c>
      <c r="CC8"/>
    </row>
    <row r="9" spans="1:81" x14ac:dyDescent="0.3">
      <c r="A9" s="169">
        <v>8</v>
      </c>
      <c r="B9" s="19" t="s">
        <v>51</v>
      </c>
      <c r="C9" s="21">
        <v>20.401</v>
      </c>
      <c r="D9" s="20">
        <f t="shared" si="0"/>
        <v>6990.7991999999995</v>
      </c>
      <c r="E9" s="21">
        <v>3.8439999999999999</v>
      </c>
      <c r="F9" s="7">
        <v>0.3</v>
      </c>
      <c r="G9" s="175">
        <f t="shared" si="2"/>
        <v>1.1532</v>
      </c>
      <c r="H9" s="175">
        <f t="shared" si="3"/>
        <v>0.53400000000000003</v>
      </c>
      <c r="I9" s="176">
        <f t="shared" si="4"/>
        <v>252.30363470283774</v>
      </c>
      <c r="J9" s="177">
        <f t="shared" si="5"/>
        <v>5.0386185233999993E-2</v>
      </c>
      <c r="K9" s="178">
        <f t="shared" si="1"/>
        <v>80000000</v>
      </c>
      <c r="M9" s="179">
        <f t="shared" si="6"/>
        <v>0.53400000000000003</v>
      </c>
      <c r="N9" s="5">
        <f t="shared" si="7"/>
        <v>-0.30790440000000002</v>
      </c>
      <c r="O9" s="180">
        <f t="shared" si="8"/>
        <v>4.3692494999999998E-2</v>
      </c>
      <c r="R9" s="29">
        <v>20.401</v>
      </c>
      <c r="S9" s="20">
        <v>3851.68</v>
      </c>
      <c r="T9" s="35">
        <f t="shared" si="9"/>
        <v>5777.5199999999995</v>
      </c>
      <c r="U9" s="35">
        <f t="shared" si="10"/>
        <v>6990.7991999999995</v>
      </c>
      <c r="V9" s="182">
        <f t="shared" si="11"/>
        <v>4035.4889648794206</v>
      </c>
      <c r="Z9" s="76">
        <v>2</v>
      </c>
      <c r="AA9" s="77">
        <v>1</v>
      </c>
      <c r="AB9" s="101" t="s">
        <v>47</v>
      </c>
      <c r="AC9" s="21">
        <v>3.2050000000000001</v>
      </c>
      <c r="AD9" s="37">
        <v>13.308</v>
      </c>
      <c r="AE9" s="175">
        <v>1.236</v>
      </c>
      <c r="AF9" s="45">
        <v>1.8560000000000001</v>
      </c>
      <c r="AG9" s="48">
        <v>58.777200000000001</v>
      </c>
      <c r="AH9" s="39">
        <v>0</v>
      </c>
      <c r="AI9" s="49">
        <v>0.1011</v>
      </c>
      <c r="AJ9" s="48">
        <f>AG9</f>
        <v>58.777200000000001</v>
      </c>
      <c r="AK9" s="39">
        <v>0.5</v>
      </c>
      <c r="AL9" s="39">
        <v>0</v>
      </c>
      <c r="AM9" s="39">
        <f>$AA$3</f>
        <v>11</v>
      </c>
      <c r="AN9" s="39">
        <v>10.003500000000001</v>
      </c>
      <c r="AO9" s="39">
        <f>AI9</f>
        <v>0.1011</v>
      </c>
      <c r="AP9" s="39">
        <v>1.1241099999999999</v>
      </c>
      <c r="AQ9" s="41">
        <v>0</v>
      </c>
      <c r="AR9" s="39">
        <v>98.5261</v>
      </c>
      <c r="AS9" s="39">
        <v>93.165099999999995</v>
      </c>
      <c r="AT9" s="215">
        <f t="shared" ref="AT9:AT26" si="12">S3</f>
        <v>8927.4500000000007</v>
      </c>
      <c r="AU9" s="53">
        <f>AE9+$AF$2</f>
        <v>2.5931010749716905</v>
      </c>
      <c r="AV9" s="41">
        <f>AF9</f>
        <v>1.8560000000000001</v>
      </c>
      <c r="AW9" s="40">
        <f t="shared" ref="AW9:AW26" si="13">AC9</f>
        <v>3.2050000000000001</v>
      </c>
      <c r="AX9" s="42">
        <f>$AA$2*2*PI()/60</f>
        <v>1.3684631833200762</v>
      </c>
      <c r="AY9" s="42">
        <f>AX9*AU9</f>
        <v>3.5485633517264712</v>
      </c>
      <c r="AZ9" s="37">
        <f>$AA$3</f>
        <v>11</v>
      </c>
      <c r="BA9" s="41">
        <f>AO9</f>
        <v>0.1011</v>
      </c>
      <c r="BB9" s="41">
        <f>AZ9*BA9</f>
        <v>1.1120999999999999</v>
      </c>
      <c r="BC9" s="41">
        <f>SQRT((AZ9-BB9)^2+(AY9)^2)</f>
        <v>10.505373304705369</v>
      </c>
      <c r="BD9" s="41">
        <f>BC9-AN9</f>
        <v>0.50187330470536828</v>
      </c>
      <c r="BE9" s="38">
        <f>BD9/BC9</f>
        <v>4.7773010072909891E-2</v>
      </c>
      <c r="BF9" s="41">
        <f>ATAN(AZ9*(1-BA9)/AY9)</f>
        <v>1.2262331568477092</v>
      </c>
      <c r="BG9" s="41">
        <f>BF9/2/PI()*360</f>
        <v>70.257984586377233</v>
      </c>
      <c r="BH9" s="41">
        <f>BG9-AD9-AH9</f>
        <v>56.949984586377234</v>
      </c>
      <c r="BI9" s="41">
        <f>BH9-AG9</f>
        <v>-1.827215413622767</v>
      </c>
      <c r="BJ9" s="38">
        <f>BI9/BH9</f>
        <v>-3.2084563795647586E-2</v>
      </c>
      <c r="BK9" s="41">
        <f>AK9*0.5*$AA$4*BC9^2*AW9</f>
        <v>108.32460404783218</v>
      </c>
      <c r="BL9" s="41">
        <f>BK9-AR9</f>
        <v>9.7985040478321821</v>
      </c>
      <c r="BM9" s="38">
        <f>BL9/BK9</f>
        <v>9.0455018358576431E-2</v>
      </c>
      <c r="BN9" s="41">
        <f>AL9*0.5*$AA$4*BC9^2*AW9</f>
        <v>0</v>
      </c>
      <c r="BO9" s="41">
        <f>BN9-AQ9</f>
        <v>0</v>
      </c>
      <c r="BP9" s="38"/>
      <c r="BQ9" s="43">
        <f>SQRT(BK9^2+BN9^2)</f>
        <v>108.32460404783218</v>
      </c>
      <c r="BR9" s="41">
        <f>0.5*$AA$4*BC9^2*AW9*(AL9*COS(BF9)+AK9*SIN(BF9))</f>
        <v>101.95761933417556</v>
      </c>
      <c r="BS9" s="41">
        <f>BR9-AS9</f>
        <v>8.7925193341755659</v>
      </c>
      <c r="BT9" s="38">
        <f>BS9/BR9</f>
        <v>8.6237001134336688E-2</v>
      </c>
      <c r="BU9" s="41">
        <f>0.5*$AA$4*BC9^2*AW9*(AL9*SIN(BF9)-AK9*COS(BF9))</f>
        <v>-36.590486493444878</v>
      </c>
      <c r="BV9" s="41">
        <f>BU9-AT9</f>
        <v>-8964.0404864934462</v>
      </c>
      <c r="BW9" s="38">
        <f>BV9/BU9</f>
        <v>244.98281781794125</v>
      </c>
      <c r="BX9" s="41">
        <f>BR9*AV9</f>
        <v>189.23334148422984</v>
      </c>
      <c r="BY9" s="38">
        <f>BX9/$BX$28</f>
        <v>9.6626274381564467E-4</v>
      </c>
      <c r="BZ9" s="41">
        <f>AU9*AV9*BU9</f>
        <v>-176.10253221995407</v>
      </c>
      <c r="CA9" s="54">
        <f>BZ9/$BZ$28</f>
        <v>-1.663969197368121E-4</v>
      </c>
      <c r="CB9" s="62">
        <f>BX26*SUM(AF9:AF26)+BX25*SUM(AF9:AF25)+BX24*SUM(AF9:AF24)+BX23*SUM(AF9:AF23)+BX22*SUM(AF9:AF22)+BX21*SUM(AF9:AF21)+BX20*SUM(AF9:AF20)+BX19*SUM(AF9:AF19)+BX18*SUM(AF9:AF18)+BX17*SUM(AF9:AF17)+BX16*SUM(AF9:AF16)+BX15*SUM(AF9:AF15)+BX14*SUM(AF9:AF14)+BX13*SUM(AF9:AF13)+BX12*SUM(AF9:AF12)+BX11*SUM(AF9:AF11)+BX10*SUM(AF9:AF10)+BX9*AF9</f>
        <v>7487872.4453191357</v>
      </c>
      <c r="CC9"/>
    </row>
    <row r="10" spans="1:81" x14ac:dyDescent="0.3">
      <c r="A10" s="169">
        <v>9</v>
      </c>
      <c r="B10" s="19" t="s">
        <v>52</v>
      </c>
      <c r="C10" s="21">
        <v>24.111000000000001</v>
      </c>
      <c r="D10" s="20">
        <f t="shared" si="0"/>
        <v>5598.6215999999995</v>
      </c>
      <c r="E10" s="21">
        <v>3.625</v>
      </c>
      <c r="F10" s="7">
        <v>0.25</v>
      </c>
      <c r="G10" s="175">
        <f t="shared" si="2"/>
        <v>0.90625</v>
      </c>
      <c r="H10" s="175">
        <f t="shared" si="3"/>
        <v>0.53400000000000003</v>
      </c>
      <c r="I10" s="176" t="e">
        <f>(((-N10)-SQRT(N10^2-(4*M10*O10)))/2/M10)*1000</f>
        <v>#NUM!</v>
      </c>
      <c r="J10" s="177">
        <f t="shared" si="5"/>
        <v>3.1710942656249998E-2</v>
      </c>
      <c r="K10" s="178">
        <f t="shared" si="1"/>
        <v>80000000</v>
      </c>
      <c r="M10" s="179">
        <f t="shared" si="6"/>
        <v>0.53400000000000003</v>
      </c>
      <c r="N10" s="5">
        <f t="shared" si="7"/>
        <v>-0.24196875000000001</v>
      </c>
      <c r="O10" s="180">
        <f t="shared" si="8"/>
        <v>3.4991385E-2</v>
      </c>
      <c r="R10" s="29">
        <v>24.111000000000001</v>
      </c>
      <c r="S10" s="20">
        <v>3084.64</v>
      </c>
      <c r="T10" s="35">
        <f t="shared" si="9"/>
        <v>4626.96</v>
      </c>
      <c r="U10" s="35">
        <f t="shared" si="10"/>
        <v>5598.6215999999995</v>
      </c>
      <c r="V10" s="182">
        <f t="shared" si="11"/>
        <v>3376.9301361028247</v>
      </c>
      <c r="Z10" s="76">
        <v>3</v>
      </c>
      <c r="AA10" s="77">
        <v>2</v>
      </c>
      <c r="AB10" s="101" t="s">
        <v>47</v>
      </c>
      <c r="AC10" s="21">
        <v>3.4870000000000001</v>
      </c>
      <c r="AD10" s="37">
        <v>13.308</v>
      </c>
      <c r="AE10" s="21">
        <v>3.7090000000000001</v>
      </c>
      <c r="AF10" s="45">
        <v>2.476</v>
      </c>
      <c r="AG10" s="48">
        <v>44.854700000000001</v>
      </c>
      <c r="AH10" s="39">
        <v>0</v>
      </c>
      <c r="AI10" s="49">
        <v>5.5130499999999999E-2</v>
      </c>
      <c r="AJ10" s="48">
        <f t="shared" ref="AJ10:AJ26" si="14">AG10</f>
        <v>44.854700000000001</v>
      </c>
      <c r="AK10" s="39">
        <v>0.5</v>
      </c>
      <c r="AL10" s="39">
        <v>0</v>
      </c>
      <c r="AM10" s="39">
        <f t="shared" ref="AM10:AM26" si="15">$AA$3</f>
        <v>11</v>
      </c>
      <c r="AN10" s="39">
        <v>11.9612</v>
      </c>
      <c r="AO10" s="39">
        <f t="shared" ref="AO10:AO26" si="16">AI10</f>
        <v>5.5130499999999999E-2</v>
      </c>
      <c r="AP10" s="39">
        <v>0.69707799999999998</v>
      </c>
      <c r="AQ10" s="41">
        <v>0</v>
      </c>
      <c r="AR10" s="39">
        <v>153.18199999999999</v>
      </c>
      <c r="AS10" s="39">
        <v>129.22300000000001</v>
      </c>
      <c r="AT10" s="215">
        <f t="shared" si="12"/>
        <v>8189.2</v>
      </c>
      <c r="AU10" s="53">
        <f t="shared" ref="AU10:AU26" si="17">AE10+$AF$2</f>
        <v>5.0661010749716908</v>
      </c>
      <c r="AV10" s="41">
        <f t="shared" ref="AV10:AV26" si="18">AF10</f>
        <v>2.476</v>
      </c>
      <c r="AW10" s="40">
        <f t="shared" si="13"/>
        <v>3.4870000000000001</v>
      </c>
      <c r="AX10" s="42">
        <f t="shared" ref="AX10:AX26" si="19">$AA$2*2*PI()/60</f>
        <v>1.3684631833200762</v>
      </c>
      <c r="AY10" s="42">
        <f t="shared" ref="AY10:AY26" si="20">AX10*AU10</f>
        <v>6.93277280407702</v>
      </c>
      <c r="AZ10" s="37">
        <f t="shared" ref="AZ10:AZ26" si="21">$AA$3</f>
        <v>11</v>
      </c>
      <c r="BA10" s="41">
        <f t="shared" ref="BA10:BA26" si="22">AO10</f>
        <v>5.5130499999999999E-2</v>
      </c>
      <c r="BB10" s="41">
        <f t="shared" ref="BB10:BB26" si="23">AZ10*BA10</f>
        <v>0.60643550000000002</v>
      </c>
      <c r="BC10" s="41">
        <f t="shared" ref="BC10:BC26" si="24">SQRT((AZ10-BB10)^2+(AY10)^2)</f>
        <v>12.493579221688643</v>
      </c>
      <c r="BD10" s="41">
        <f t="shared" ref="BD10:BD26" si="25">BC10-AN10</f>
        <v>0.53237922168864316</v>
      </c>
      <c r="BE10" s="38">
        <f t="shared" ref="BE10:BE26" si="26">BD10/BC10</f>
        <v>4.2612226027625599E-2</v>
      </c>
      <c r="BF10" s="41">
        <f t="shared" ref="BF10:BF26" si="27">ATAN(AZ10*(1-BA10)/AY10)</f>
        <v>0.98254532488550228</v>
      </c>
      <c r="BG10" s="41">
        <f t="shared" ref="BG10:BG26" si="28">BF10/2/PI()*360</f>
        <v>56.295700296249578</v>
      </c>
      <c r="BH10" s="41">
        <f t="shared" ref="BH10:BH26" si="29">BG10-AD10-AH10</f>
        <v>42.987700296249578</v>
      </c>
      <c r="BI10" s="41">
        <f t="shared" ref="BI10:BI26" si="30">BH10-AG10</f>
        <v>-1.8669997037504231</v>
      </c>
      <c r="BJ10" s="38">
        <f t="shared" ref="BJ10:BJ26" si="31">BI10/BH10</f>
        <v>-4.3431020754401875E-2</v>
      </c>
      <c r="BK10" s="41">
        <f t="shared" ref="BK10:BK26" si="32">AK10*0.5*$AA$4*BC10^2*AW10</f>
        <v>166.68702473718781</v>
      </c>
      <c r="BL10" s="41">
        <f t="shared" ref="BL10:BL26" si="33">BK10-AR10</f>
        <v>13.505024737187824</v>
      </c>
      <c r="BM10" s="38">
        <f t="shared" ref="BM10:BM26" si="34">BL10/BK10</f>
        <v>8.1020251927112708E-2</v>
      </c>
      <c r="BN10" s="41">
        <f t="shared" ref="BN10:BN26" si="35">AL10*0.5*$AA$4*BC10^2*AW10</f>
        <v>0</v>
      </c>
      <c r="BO10" s="41">
        <f t="shared" ref="BO10:BO26" si="36">BN10-AQ10</f>
        <v>0</v>
      </c>
      <c r="BP10" s="38"/>
      <c r="BQ10" s="43">
        <f t="shared" ref="BQ10:BQ26" si="37">SQRT(BK10^2+BN10^2)</f>
        <v>166.68702473718781</v>
      </c>
      <c r="BR10" s="41">
        <f t="shared" ref="BR10:BR26" si="38">0.5*$AA$4*BC10^2*AW10*(AL10*COS(BF10)+AK10*SIN(BF10))</f>
        <v>138.66901647459954</v>
      </c>
      <c r="BS10" s="41">
        <f t="shared" ref="BS10:BS26" si="39">BR10-AS10</f>
        <v>9.4460164745995314</v>
      </c>
      <c r="BT10" s="38">
        <f t="shared" ref="BT10:BT26" si="40">BS10/BR10</f>
        <v>6.8119156786042315E-2</v>
      </c>
      <c r="BU10" s="41">
        <f t="shared" ref="BU10:BU26" si="41">0.5*$AA$4*BC10^2*AW10*(AL10*SIN(BF10)-AK10*COS(BF10))</f>
        <v>-92.495773339667252</v>
      </c>
      <c r="BV10" s="41">
        <f t="shared" ref="BV10:BV26" si="42">BU10-AT10</f>
        <v>-8281.6957733396666</v>
      </c>
      <c r="BW10" s="38">
        <f t="shared" ref="BW10:BW26" si="43">BV10/BU10</f>
        <v>89.535937419834752</v>
      </c>
      <c r="BX10" s="41">
        <f t="shared" ref="BX10:BX26" si="44">BR10*AV10</f>
        <v>343.34448479110847</v>
      </c>
      <c r="BY10" s="38">
        <f t="shared" ref="BY10:BY26" si="45">BX10/$BX$28</f>
        <v>1.7531846203533501E-3</v>
      </c>
      <c r="BZ10" s="41">
        <f t="shared" ref="BZ10:BZ26" si="46">AU10*AV10*BU10</f>
        <v>-1160.2361113841512</v>
      </c>
      <c r="CA10" s="54">
        <f t="shared" ref="CA10:CA26" si="47">BZ10/$BZ$28</f>
        <v>-1.0962915335062065E-3</v>
      </c>
      <c r="CB10" s="62">
        <f>BX26*SUM(AF10:AF26)+BX25*SUM(AF10:AF25)+BX24*SUM(AF10:AF24)+BX23*SUM(AF10:AF23)+BX22*SUM(AF10:AF22)+BX21*SUM(AF10:AF21)+BX20*SUM(AF10:AF20)+BX19*SUM(AF10:AF19)+BX18*SUM(AF10:AF18)+BX17*SUM(AF10:AF17)+BX16*SUM(AF10:AF16)+BX15*SUM(AF10:AF15)+BX14*SUM(AF10:AF14)+BX13*SUM(AF10:AF13)+BX12*SUM(AF10:AF12)+BX11*SUM(AF10:AF11)+BX10*AF10</f>
        <v>7124392.5491494657</v>
      </c>
      <c r="CC10"/>
    </row>
    <row r="11" spans="1:81" x14ac:dyDescent="0.3">
      <c r="A11" s="169">
        <v>10</v>
      </c>
      <c r="B11" s="19" t="s">
        <v>52</v>
      </c>
      <c r="C11" s="21">
        <v>27.82</v>
      </c>
      <c r="D11" s="20">
        <f t="shared" si="0"/>
        <v>4342.369349999999</v>
      </c>
      <c r="E11" s="21">
        <v>3.391</v>
      </c>
      <c r="F11" s="7">
        <v>0.25</v>
      </c>
      <c r="G11" s="175">
        <f t="shared" si="2"/>
        <v>0.84775</v>
      </c>
      <c r="H11" s="175">
        <f t="shared" si="3"/>
        <v>0.53400000000000003</v>
      </c>
      <c r="I11" s="176" t="e">
        <f t="shared" si="4"/>
        <v>#NUM!</v>
      </c>
      <c r="J11" s="177">
        <f t="shared" si="5"/>
        <v>2.3007772602890619E-2</v>
      </c>
      <c r="K11" s="178">
        <f t="shared" si="1"/>
        <v>80000000</v>
      </c>
      <c r="M11" s="179">
        <f t="shared" si="6"/>
        <v>0.53400000000000003</v>
      </c>
      <c r="N11" s="5">
        <f t="shared" si="7"/>
        <v>-0.22634925</v>
      </c>
      <c r="O11" s="180">
        <f t="shared" si="8"/>
        <v>2.7139808437499992E-2</v>
      </c>
      <c r="R11" s="29">
        <v>27.82</v>
      </c>
      <c r="S11" s="20">
        <v>2392.4899999999998</v>
      </c>
      <c r="T11" s="35">
        <f t="shared" si="9"/>
        <v>3588.7349999999997</v>
      </c>
      <c r="U11" s="35">
        <f t="shared" si="10"/>
        <v>4342.369349999999</v>
      </c>
      <c r="V11" s="182">
        <f t="shared" si="11"/>
        <v>2753.1461908225506</v>
      </c>
      <c r="Z11" s="76">
        <v>4</v>
      </c>
      <c r="AA11" s="77">
        <v>3</v>
      </c>
      <c r="AB11" s="101" t="s">
        <v>48</v>
      </c>
      <c r="AC11" s="21">
        <v>3.77</v>
      </c>
      <c r="AD11" s="37">
        <v>13.308</v>
      </c>
      <c r="AE11" s="21">
        <v>6.1820000000000004</v>
      </c>
      <c r="AF11" s="45">
        <v>2.7869999999999999</v>
      </c>
      <c r="AG11" s="48">
        <v>34.212400000000002</v>
      </c>
      <c r="AH11" s="39">
        <v>0</v>
      </c>
      <c r="AI11" s="49">
        <v>3.0918899999999999E-2</v>
      </c>
      <c r="AJ11" s="48">
        <f t="shared" si="14"/>
        <v>34.212400000000002</v>
      </c>
      <c r="AK11" s="39">
        <v>0.35</v>
      </c>
      <c r="AL11" s="39">
        <v>0</v>
      </c>
      <c r="AM11" s="39">
        <f t="shared" si="15"/>
        <v>11</v>
      </c>
      <c r="AN11" s="39">
        <v>14.268000000000001</v>
      </c>
      <c r="AO11" s="39">
        <f t="shared" si="16"/>
        <v>3.0918899999999999E-2</v>
      </c>
      <c r="AP11" s="39">
        <v>0.45428600000000002</v>
      </c>
      <c r="AQ11" s="41">
        <v>0</v>
      </c>
      <c r="AR11" s="39">
        <v>164.93299999999999</v>
      </c>
      <c r="AS11" s="39">
        <v>120.82</v>
      </c>
      <c r="AT11" s="215">
        <f t="shared" si="12"/>
        <v>7461.64</v>
      </c>
      <c r="AU11" s="53">
        <f t="shared" si="17"/>
        <v>7.5391010749716907</v>
      </c>
      <c r="AV11" s="41">
        <f t="shared" si="18"/>
        <v>2.7869999999999999</v>
      </c>
      <c r="AW11" s="40">
        <f t="shared" si="13"/>
        <v>3.77</v>
      </c>
      <c r="AX11" s="42">
        <f t="shared" si="19"/>
        <v>1.3684631833200762</v>
      </c>
      <c r="AY11" s="42">
        <f t="shared" si="20"/>
        <v>10.316982256427568</v>
      </c>
      <c r="AZ11" s="37">
        <f t="shared" si="21"/>
        <v>11</v>
      </c>
      <c r="BA11" s="41">
        <f t="shared" si="22"/>
        <v>3.0918899999999999E-2</v>
      </c>
      <c r="BB11" s="41">
        <f t="shared" si="23"/>
        <v>0.34010790000000002</v>
      </c>
      <c r="BC11" s="41">
        <f t="shared" si="24"/>
        <v>14.834871838444837</v>
      </c>
      <c r="BD11" s="41">
        <f t="shared" si="25"/>
        <v>0.56687183844483613</v>
      </c>
      <c r="BE11" s="38">
        <f t="shared" si="26"/>
        <v>3.8212115656825398E-2</v>
      </c>
      <c r="BF11" s="41">
        <f t="shared" si="27"/>
        <v>0.8017437493917976</v>
      </c>
      <c r="BG11" s="41">
        <f t="shared" si="28"/>
        <v>45.936533091144362</v>
      </c>
      <c r="BH11" s="41">
        <f t="shared" si="29"/>
        <v>32.628533091144362</v>
      </c>
      <c r="BI11" s="41">
        <f t="shared" si="30"/>
        <v>-1.5838669088556401</v>
      </c>
      <c r="BJ11" s="38">
        <f t="shared" si="31"/>
        <v>-4.8542387867431092E-2</v>
      </c>
      <c r="BK11" s="41">
        <f t="shared" si="32"/>
        <v>177.86196457577384</v>
      </c>
      <c r="BL11" s="41">
        <f t="shared" si="33"/>
        <v>12.928964575773847</v>
      </c>
      <c r="BM11" s="38">
        <f t="shared" si="34"/>
        <v>7.2691002860624368E-2</v>
      </c>
      <c r="BN11" s="41">
        <f t="shared" si="35"/>
        <v>0</v>
      </c>
      <c r="BO11" s="41">
        <f t="shared" si="36"/>
        <v>0</v>
      </c>
      <c r="BP11" s="38"/>
      <c r="BQ11" s="43">
        <f t="shared" si="37"/>
        <v>177.86196457577384</v>
      </c>
      <c r="BR11" s="41">
        <f t="shared" si="38"/>
        <v>127.80625082033275</v>
      </c>
      <c r="BS11" s="41">
        <f t="shared" si="39"/>
        <v>6.9862508203327565</v>
      </c>
      <c r="BT11" s="38">
        <f t="shared" si="40"/>
        <v>5.4662825765493084E-2</v>
      </c>
      <c r="BU11" s="41">
        <f t="shared" si="41"/>
        <v>-123.69495015563098</v>
      </c>
      <c r="BV11" s="41">
        <f t="shared" si="42"/>
        <v>-7585.3349501556313</v>
      </c>
      <c r="BW11" s="38">
        <f t="shared" si="43"/>
        <v>61.322915289685518</v>
      </c>
      <c r="BX11" s="41">
        <f t="shared" si="44"/>
        <v>356.19602103626738</v>
      </c>
      <c r="BY11" s="38">
        <f t="shared" si="45"/>
        <v>1.818807097751332E-3</v>
      </c>
      <c r="BZ11" s="41">
        <f t="shared" si="46"/>
        <v>-2599.0133152113544</v>
      </c>
      <c r="CA11" s="54">
        <f t="shared" si="47"/>
        <v>-2.4557728077752596E-3</v>
      </c>
      <c r="CB11" s="62">
        <f>BX26*SUM(AF11:AF26)+BX25*SUM(AF11:AF25)+BX24*SUM(AF11:AF24)+BX23*SUM(AF11:AF23)+BX22*SUM(AF11:AF22)+BX21*SUM(AF11:AF21)+BX20*SUM(AF11:AF20)+BX19*SUM(AF11:AF19)+BX18*SUM(AF11:AF18)+BX17*SUM(AF11:AF17)+BX16*SUM(AF11:AF16)+BX15*SUM(AF11:AF15)+BX14*SUM(AF11:AF14)+BX13*SUM(AF11:AF13)+BX12*SUM(AF11:AF12)+BX11*AF11</f>
        <v>6639960.1087283557</v>
      </c>
      <c r="CC11"/>
    </row>
    <row r="12" spans="1:81" x14ac:dyDescent="0.3">
      <c r="A12" s="169">
        <v>11</v>
      </c>
      <c r="B12" s="19" t="s">
        <v>53</v>
      </c>
      <c r="C12" s="21">
        <v>31.529</v>
      </c>
      <c r="D12" s="20">
        <f t="shared" si="0"/>
        <v>3231.2808</v>
      </c>
      <c r="E12" s="21">
        <v>3.1680000000000001</v>
      </c>
      <c r="F12" s="7">
        <v>0.21</v>
      </c>
      <c r="G12" s="175">
        <f t="shared" si="2"/>
        <v>0.66527999999999998</v>
      </c>
      <c r="H12" s="175">
        <f t="shared" si="3"/>
        <v>0.53400000000000003</v>
      </c>
      <c r="I12" s="176" t="e">
        <f t="shared" si="4"/>
        <v>#NUM!</v>
      </c>
      <c r="J12" s="177">
        <f t="shared" si="5"/>
        <v>1.3435665566399999E-2</v>
      </c>
      <c r="K12" s="178">
        <f t="shared" si="1"/>
        <v>80000000</v>
      </c>
      <c r="M12" s="179">
        <f t="shared" si="6"/>
        <v>0.53400000000000003</v>
      </c>
      <c r="N12" s="5">
        <f t="shared" si="7"/>
        <v>-0.17762976</v>
      </c>
      <c r="O12" s="180">
        <f t="shared" si="8"/>
        <v>2.0195504999999999E-2</v>
      </c>
      <c r="R12" s="29">
        <v>31.529</v>
      </c>
      <c r="S12" s="20">
        <v>1780.32</v>
      </c>
      <c r="T12" s="35">
        <f t="shared" si="9"/>
        <v>2670.48</v>
      </c>
      <c r="U12" s="35">
        <f t="shared" si="10"/>
        <v>3231.2808</v>
      </c>
      <c r="V12" s="182">
        <f t="shared" si="11"/>
        <v>2172.3137747535675</v>
      </c>
      <c r="Z12" s="76">
        <v>5</v>
      </c>
      <c r="AA12" s="77">
        <v>4</v>
      </c>
      <c r="AB12" s="101" t="s">
        <v>49</v>
      </c>
      <c r="AC12" s="21">
        <v>4.1230000000000002</v>
      </c>
      <c r="AD12" s="37">
        <v>13.308</v>
      </c>
      <c r="AE12" s="21">
        <v>9.2729999999999997</v>
      </c>
      <c r="AF12" s="45">
        <v>3.4039999999999999</v>
      </c>
      <c r="AG12" s="48">
        <v>15.6957</v>
      </c>
      <c r="AH12" s="39">
        <v>0</v>
      </c>
      <c r="AI12" s="49">
        <v>0.23444400000000001</v>
      </c>
      <c r="AJ12" s="48">
        <f t="shared" si="14"/>
        <v>15.6957</v>
      </c>
      <c r="AK12" s="39">
        <v>0.21725900000000001</v>
      </c>
      <c r="AL12" s="39">
        <v>1.6294999999999999</v>
      </c>
      <c r="AM12" s="39">
        <f t="shared" si="15"/>
        <v>11</v>
      </c>
      <c r="AN12" s="39">
        <v>17.2029</v>
      </c>
      <c r="AO12" s="39">
        <f t="shared" si="16"/>
        <v>0.23444400000000001</v>
      </c>
      <c r="AP12" s="39">
        <v>2.7526700000000002</v>
      </c>
      <c r="AQ12" s="41">
        <v>1212.69</v>
      </c>
      <c r="AR12" s="39">
        <v>157.13300000000001</v>
      </c>
      <c r="AS12" s="39">
        <v>1136.82</v>
      </c>
      <c r="AT12" s="215">
        <f t="shared" si="12"/>
        <v>6572.29</v>
      </c>
      <c r="AU12" s="53">
        <f t="shared" si="17"/>
        <v>10.630101074971691</v>
      </c>
      <c r="AV12" s="41">
        <f t="shared" si="18"/>
        <v>3.4039999999999999</v>
      </c>
      <c r="AW12" s="40">
        <f t="shared" si="13"/>
        <v>4.1230000000000002</v>
      </c>
      <c r="AX12" s="42">
        <f t="shared" si="19"/>
        <v>1.3684631833200762</v>
      </c>
      <c r="AY12" s="42">
        <f t="shared" si="20"/>
        <v>14.546901956069924</v>
      </c>
      <c r="AZ12" s="37">
        <f t="shared" si="21"/>
        <v>11</v>
      </c>
      <c r="BA12" s="41">
        <f t="shared" si="22"/>
        <v>0.23444400000000001</v>
      </c>
      <c r="BB12" s="41">
        <f t="shared" si="23"/>
        <v>2.578884</v>
      </c>
      <c r="BC12" s="41">
        <f t="shared" si="24"/>
        <v>16.80855589290665</v>
      </c>
      <c r="BD12" s="41">
        <f t="shared" si="25"/>
        <v>-0.39434410709334955</v>
      </c>
      <c r="BE12" s="38">
        <f t="shared" si="26"/>
        <v>-2.3460915357979447E-2</v>
      </c>
      <c r="BF12" s="41">
        <f t="shared" si="27"/>
        <v>0.52475588931138217</v>
      </c>
      <c r="BG12" s="41">
        <f t="shared" si="28"/>
        <v>30.066297732176384</v>
      </c>
      <c r="BH12" s="41">
        <f t="shared" si="29"/>
        <v>16.758297732176384</v>
      </c>
      <c r="BI12" s="41">
        <f t="shared" si="30"/>
        <v>1.0625977321763838</v>
      </c>
      <c r="BJ12" s="38">
        <f t="shared" si="31"/>
        <v>6.3407259445938086E-2</v>
      </c>
      <c r="BK12" s="41">
        <f t="shared" si="32"/>
        <v>155.00939075725171</v>
      </c>
      <c r="BL12" s="41">
        <f t="shared" si="33"/>
        <v>-2.1236092427483015</v>
      </c>
      <c r="BM12" s="38">
        <f t="shared" si="34"/>
        <v>-1.3699874777741193E-2</v>
      </c>
      <c r="BN12" s="41">
        <f t="shared" si="35"/>
        <v>1162.6114556310285</v>
      </c>
      <c r="BO12" s="41">
        <f t="shared" si="36"/>
        <v>-50.078544368971507</v>
      </c>
      <c r="BP12" s="38">
        <f>BO12/BN12</f>
        <v>-4.3074187964018011E-2</v>
      </c>
      <c r="BQ12" s="43">
        <f t="shared" si="37"/>
        <v>1172.8995302187793</v>
      </c>
      <c r="BR12" s="41">
        <f t="shared" si="38"/>
        <v>1083.8377213840538</v>
      </c>
      <c r="BS12" s="41">
        <f t="shared" si="39"/>
        <v>-52.982278615946143</v>
      </c>
      <c r="BT12" s="38">
        <f t="shared" si="40"/>
        <v>-4.8883958890347641E-2</v>
      </c>
      <c r="BU12" s="41">
        <f t="shared" si="41"/>
        <v>448.31808093412411</v>
      </c>
      <c r="BV12" s="41">
        <f t="shared" si="42"/>
        <v>-6123.9719190658761</v>
      </c>
      <c r="BW12" s="38">
        <f t="shared" si="43"/>
        <v>-13.65988163204538</v>
      </c>
      <c r="BX12" s="41">
        <f t="shared" si="44"/>
        <v>3689.3836035913191</v>
      </c>
      <c r="BY12" s="38">
        <f t="shared" si="45"/>
        <v>1.8838719941388807E-2</v>
      </c>
      <c r="BZ12" s="41">
        <f t="shared" si="46"/>
        <v>16222.328813884333</v>
      </c>
      <c r="CA12" s="54">
        <f t="shared" si="47"/>
        <v>1.532826082373746E-2</v>
      </c>
      <c r="CB12" s="62">
        <f>BX26*SUM(AF12:AF26)+BX25*SUM(AF12:AF25)+BX24*SUM(AF12:AF24)+BX23*SUM(AF12:AF23)+BX22*SUM(AF12:AF22)+BX21*SUM(AF12:AF21)+BX20*SUM(AF12:AF20)+BX19*SUM(AF12:AF19)+BX18*SUM(AF12:AF18)+BX17*SUM(AF12:AF17)+BX16*SUM(AF12:AF16)+BX15*SUM(AF12:AF15)+BX14*SUM(AF12:AF14)+BX13*SUM(AF12:AF13)+BX12*AF12</f>
        <v>6095637.0374917863</v>
      </c>
      <c r="CC12"/>
    </row>
    <row r="13" spans="1:81" x14ac:dyDescent="0.3">
      <c r="A13" s="169">
        <v>12</v>
      </c>
      <c r="B13" s="19" t="s">
        <v>53</v>
      </c>
      <c r="C13" s="21">
        <v>35.238999999999997</v>
      </c>
      <c r="D13" s="20">
        <f t="shared" si="0"/>
        <v>2277.7523999999999</v>
      </c>
      <c r="E13" s="21">
        <v>2.9460000000000002</v>
      </c>
      <c r="F13" s="7">
        <v>0.21</v>
      </c>
      <c r="G13" s="175">
        <f t="shared" si="2"/>
        <v>0.61865999999999999</v>
      </c>
      <c r="H13" s="175">
        <f t="shared" si="3"/>
        <v>0.53400000000000003</v>
      </c>
      <c r="I13" s="176" t="e">
        <f t="shared" si="4"/>
        <v>#NUM!</v>
      </c>
      <c r="J13" s="177">
        <f t="shared" si="5"/>
        <v>8.8072143736499988E-3</v>
      </c>
      <c r="K13" s="178">
        <f t="shared" si="1"/>
        <v>80000000</v>
      </c>
      <c r="M13" s="179">
        <f t="shared" si="6"/>
        <v>0.53400000000000003</v>
      </c>
      <c r="N13" s="5">
        <f t="shared" si="7"/>
        <v>-0.16518222000000002</v>
      </c>
      <c r="O13" s="180">
        <f t="shared" si="8"/>
        <v>1.4235952499999999E-2</v>
      </c>
      <c r="R13" s="29">
        <v>35.238999999999997</v>
      </c>
      <c r="S13" s="20">
        <v>1254.96</v>
      </c>
      <c r="T13" s="35">
        <f t="shared" si="9"/>
        <v>1882.44</v>
      </c>
      <c r="U13" s="35">
        <f t="shared" si="10"/>
        <v>2277.7523999999999</v>
      </c>
      <c r="V13" s="182">
        <f t="shared" si="11"/>
        <v>1641.9050872102575</v>
      </c>
      <c r="Z13" s="76">
        <v>6</v>
      </c>
      <c r="AA13" s="77">
        <v>5</v>
      </c>
      <c r="AB13" s="101" t="s">
        <v>50</v>
      </c>
      <c r="AC13" s="21">
        <v>4.2089999999999996</v>
      </c>
      <c r="AD13" s="37">
        <v>11.48</v>
      </c>
      <c r="AE13" s="21">
        <v>12.983000000000001</v>
      </c>
      <c r="AF13" s="45">
        <v>3.71</v>
      </c>
      <c r="AG13" s="48">
        <v>10.7598</v>
      </c>
      <c r="AH13" s="39">
        <v>0</v>
      </c>
      <c r="AI13" s="49">
        <v>0.25018000000000001</v>
      </c>
      <c r="AJ13" s="48">
        <f t="shared" si="14"/>
        <v>10.7598</v>
      </c>
      <c r="AK13" s="39">
        <v>2.7737000000000001E-2</v>
      </c>
      <c r="AL13" s="39">
        <v>1.50281</v>
      </c>
      <c r="AM13" s="39">
        <f t="shared" si="15"/>
        <v>11</v>
      </c>
      <c r="AN13" s="39">
        <v>21.601400000000002</v>
      </c>
      <c r="AO13" s="39">
        <f t="shared" si="16"/>
        <v>0.25018000000000001</v>
      </c>
      <c r="AP13" s="39">
        <v>2.9398399999999998</v>
      </c>
      <c r="AQ13" s="41">
        <v>1803.1</v>
      </c>
      <c r="AR13" s="39">
        <v>30.4406</v>
      </c>
      <c r="AS13" s="39">
        <v>1680.47</v>
      </c>
      <c r="AT13" s="215">
        <f t="shared" si="12"/>
        <v>5588.84</v>
      </c>
      <c r="AU13" s="53">
        <f t="shared" si="17"/>
        <v>14.340101074971692</v>
      </c>
      <c r="AV13" s="41">
        <f t="shared" si="18"/>
        <v>3.71</v>
      </c>
      <c r="AW13" s="40">
        <f t="shared" si="13"/>
        <v>4.2089999999999996</v>
      </c>
      <c r="AX13" s="42">
        <f t="shared" si="19"/>
        <v>1.3684631833200762</v>
      </c>
      <c r="AY13" s="42">
        <f t="shared" si="20"/>
        <v>19.623900366187407</v>
      </c>
      <c r="AZ13" s="37">
        <f t="shared" si="21"/>
        <v>11</v>
      </c>
      <c r="BA13" s="41">
        <f t="shared" si="22"/>
        <v>0.25018000000000001</v>
      </c>
      <c r="BB13" s="41">
        <f t="shared" si="23"/>
        <v>2.7519800000000001</v>
      </c>
      <c r="BC13" s="41">
        <f t="shared" si="24"/>
        <v>21.286786969912821</v>
      </c>
      <c r="BD13" s="41">
        <f t="shared" si="25"/>
        <v>-0.31461303008718033</v>
      </c>
      <c r="BE13" s="38">
        <f t="shared" si="26"/>
        <v>-1.4779733105417027E-2</v>
      </c>
      <c r="BF13" s="41">
        <f t="shared" si="27"/>
        <v>0.39788707971733606</v>
      </c>
      <c r="BG13" s="41">
        <f t="shared" si="28"/>
        <v>22.797250390588694</v>
      </c>
      <c r="BH13" s="41">
        <f t="shared" si="29"/>
        <v>11.317250390588693</v>
      </c>
      <c r="BI13" s="41">
        <f t="shared" si="30"/>
        <v>0.55745039058869317</v>
      </c>
      <c r="BJ13" s="38">
        <f t="shared" si="31"/>
        <v>4.9256698522130701E-2</v>
      </c>
      <c r="BK13" s="41">
        <f t="shared" si="32"/>
        <v>32.401471439338849</v>
      </c>
      <c r="BL13" s="41">
        <f t="shared" si="33"/>
        <v>1.9608714393388489</v>
      </c>
      <c r="BM13" s="38">
        <f t="shared" si="34"/>
        <v>6.0517975024990421E-2</v>
      </c>
      <c r="BN13" s="41">
        <f t="shared" si="35"/>
        <v>1755.534314949447</v>
      </c>
      <c r="BO13" s="41">
        <f t="shared" si="36"/>
        <v>-47.565685050552929</v>
      </c>
      <c r="BP13" s="38">
        <f t="shared" ref="BP13:BP26" si="48">BO13/BN13</f>
        <v>-2.7094705381434055E-2</v>
      </c>
      <c r="BQ13" s="43">
        <f t="shared" si="37"/>
        <v>1755.8333025422596</v>
      </c>
      <c r="BR13" s="41">
        <f t="shared" si="38"/>
        <v>1630.9496834596403</v>
      </c>
      <c r="BS13" s="41">
        <f t="shared" si="39"/>
        <v>-49.520316540359772</v>
      </c>
      <c r="BT13" s="38">
        <f t="shared" si="40"/>
        <v>-3.0362872038648771E-2</v>
      </c>
      <c r="BU13" s="41">
        <f t="shared" si="41"/>
        <v>650.34891891918892</v>
      </c>
      <c r="BV13" s="41">
        <f t="shared" si="42"/>
        <v>-4938.4910810808115</v>
      </c>
      <c r="BW13" s="38">
        <f t="shared" si="43"/>
        <v>-7.5936023531615318</v>
      </c>
      <c r="BX13" s="41">
        <f t="shared" si="44"/>
        <v>6050.8233256352651</v>
      </c>
      <c r="BY13" s="38">
        <f t="shared" si="45"/>
        <v>3.089669665564343E-2</v>
      </c>
      <c r="BZ13" s="41">
        <f t="shared" si="46"/>
        <v>34599.716848122029</v>
      </c>
      <c r="CA13" s="54">
        <f t="shared" si="47"/>
        <v>3.2692808188030317E-2</v>
      </c>
      <c r="CB13" s="62">
        <f>BX26*SUM(AF13:AF26)+BX25*SUM(AF13:AF25)+BX24*SUM(AF13:AF24)+BX23*SUM(AF13:AF23)+BX22*SUM(AF13:AF22)+BX21*SUM(AF13:AF21)+BX20*SUM(AF13:AF20)+BX19*SUM(AF13:AF19)+BX18*SUM(AF13:AF18)+BX17*SUM(AF13:AF17)+BX16*SUM(AF13:AF16)+BX15*SUM(AF13:AF15)+BX14*SUM(AF13:AF14)+BX13*AF13</f>
        <v>5432021.4934085775</v>
      </c>
      <c r="CC13"/>
    </row>
    <row r="14" spans="1:81" x14ac:dyDescent="0.3">
      <c r="A14" s="169">
        <v>13</v>
      </c>
      <c r="B14" s="19" t="s">
        <v>54</v>
      </c>
      <c r="C14" s="21">
        <v>38.948</v>
      </c>
      <c r="D14" s="20">
        <f t="shared" si="0"/>
        <v>1490.2111950000001</v>
      </c>
      <c r="E14" s="21">
        <v>2.7229999999999999</v>
      </c>
      <c r="F14" s="7">
        <v>0.18</v>
      </c>
      <c r="G14" s="175">
        <f t="shared" si="2"/>
        <v>0.49013999999999996</v>
      </c>
      <c r="H14" s="175">
        <f t="shared" si="3"/>
        <v>0.53400000000000003</v>
      </c>
      <c r="I14" s="176" t="e">
        <f t="shared" si="4"/>
        <v>#NUM!</v>
      </c>
      <c r="J14" s="177">
        <f t="shared" si="5"/>
        <v>4.565075719483125E-3</v>
      </c>
      <c r="K14" s="178">
        <f t="shared" si="1"/>
        <v>80000000</v>
      </c>
      <c r="M14" s="179">
        <f t="shared" si="6"/>
        <v>0.53400000000000003</v>
      </c>
      <c r="N14" s="5">
        <f t="shared" si="7"/>
        <v>-0.13086738000000001</v>
      </c>
      <c r="O14" s="180">
        <f t="shared" si="8"/>
        <v>9.3138199687499996E-3</v>
      </c>
      <c r="R14" s="29">
        <v>38.948</v>
      </c>
      <c r="S14" s="20">
        <v>821.053</v>
      </c>
      <c r="T14" s="35">
        <f t="shared" si="9"/>
        <v>1231.5795000000001</v>
      </c>
      <c r="U14" s="35">
        <f t="shared" si="10"/>
        <v>1490.2111950000001</v>
      </c>
      <c r="V14" s="182">
        <f t="shared" si="11"/>
        <v>1171.1914348622006</v>
      </c>
      <c r="Z14" s="76">
        <v>7</v>
      </c>
      <c r="AA14" s="77">
        <v>6</v>
      </c>
      <c r="AB14" s="101" t="s">
        <v>50</v>
      </c>
      <c r="AC14" s="21">
        <v>4.0330000000000004</v>
      </c>
      <c r="AD14" s="37">
        <v>10.162000000000001</v>
      </c>
      <c r="AE14" s="21">
        <v>16.692</v>
      </c>
      <c r="AF14" s="45">
        <v>3.7090000000000001</v>
      </c>
      <c r="AG14" s="48">
        <v>8.3775300000000001</v>
      </c>
      <c r="AH14" s="39">
        <v>0</v>
      </c>
      <c r="AI14" s="49">
        <v>0.24071100000000001</v>
      </c>
      <c r="AJ14" s="48">
        <f t="shared" si="14"/>
        <v>8.3775300000000001</v>
      </c>
      <c r="AK14" s="39">
        <v>1.3348799999999999E-2</v>
      </c>
      <c r="AL14" s="39">
        <v>1.29278</v>
      </c>
      <c r="AM14" s="39">
        <f t="shared" si="15"/>
        <v>11</v>
      </c>
      <c r="AN14" s="39">
        <v>26.045300000000001</v>
      </c>
      <c r="AO14" s="39">
        <f t="shared" si="16"/>
        <v>0.24071100000000001</v>
      </c>
      <c r="AP14" s="39">
        <v>2.7815599999999998</v>
      </c>
      <c r="AQ14" s="41">
        <v>2154.9899999999998</v>
      </c>
      <c r="AR14" s="39">
        <v>21.935700000000001</v>
      </c>
      <c r="AS14" s="39">
        <v>2049.3200000000002</v>
      </c>
      <c r="AT14" s="215">
        <f t="shared" si="12"/>
        <v>4688.21</v>
      </c>
      <c r="AU14" s="53">
        <f t="shared" si="17"/>
        <v>18.049101074971691</v>
      </c>
      <c r="AV14" s="41">
        <f t="shared" si="18"/>
        <v>3.7090000000000001</v>
      </c>
      <c r="AW14" s="40">
        <f t="shared" si="13"/>
        <v>4.0330000000000004</v>
      </c>
      <c r="AX14" s="42">
        <f t="shared" si="19"/>
        <v>1.3684631833200762</v>
      </c>
      <c r="AY14" s="42">
        <f t="shared" si="20"/>
        <v>24.699530313121571</v>
      </c>
      <c r="AZ14" s="37">
        <f t="shared" si="21"/>
        <v>11</v>
      </c>
      <c r="BA14" s="41">
        <f t="shared" si="22"/>
        <v>0.24071100000000001</v>
      </c>
      <c r="BB14" s="41">
        <f t="shared" si="23"/>
        <v>2.647821</v>
      </c>
      <c r="BC14" s="41">
        <f t="shared" si="24"/>
        <v>26.073467198223799</v>
      </c>
      <c r="BD14" s="41">
        <f t="shared" si="25"/>
        <v>2.8167198223798096E-2</v>
      </c>
      <c r="BE14" s="38">
        <f t="shared" si="26"/>
        <v>1.0803012123265651E-3</v>
      </c>
      <c r="BF14" s="41">
        <f t="shared" si="27"/>
        <v>0.32608046491257203</v>
      </c>
      <c r="BG14" s="41">
        <f t="shared" si="28"/>
        <v>18.683034421154105</v>
      </c>
      <c r="BH14" s="41">
        <f t="shared" si="29"/>
        <v>8.5210344211541038</v>
      </c>
      <c r="BI14" s="41">
        <f t="shared" si="30"/>
        <v>0.14350442115410367</v>
      </c>
      <c r="BJ14" s="38">
        <f t="shared" si="31"/>
        <v>1.6841197214019374E-2</v>
      </c>
      <c r="BK14" s="41">
        <f t="shared" si="32"/>
        <v>22.416825675980228</v>
      </c>
      <c r="BL14" s="41">
        <f t="shared" si="33"/>
        <v>0.48112567598022693</v>
      </c>
      <c r="BM14" s="38">
        <f t="shared" si="34"/>
        <v>2.1462703191547597E-2</v>
      </c>
      <c r="BN14" s="41">
        <f t="shared" si="35"/>
        <v>2170.9834515007879</v>
      </c>
      <c r="BO14" s="41">
        <f t="shared" si="36"/>
        <v>15.993451500788069</v>
      </c>
      <c r="BP14" s="38">
        <f t="shared" si="48"/>
        <v>7.3669154362885131E-3</v>
      </c>
      <c r="BQ14" s="43">
        <f t="shared" si="37"/>
        <v>2171.099182617796</v>
      </c>
      <c r="BR14" s="41">
        <f t="shared" si="38"/>
        <v>2063.7646884934529</v>
      </c>
      <c r="BS14" s="41">
        <f t="shared" si="39"/>
        <v>14.444688493452759</v>
      </c>
      <c r="BT14" s="38">
        <f t="shared" si="40"/>
        <v>6.9991935485616691E-3</v>
      </c>
      <c r="BU14" s="41">
        <f t="shared" si="41"/>
        <v>674.20098731104247</v>
      </c>
      <c r="BV14" s="41">
        <f t="shared" si="42"/>
        <v>-4014.0090126889577</v>
      </c>
      <c r="BW14" s="38">
        <f t="shared" si="43"/>
        <v>-5.9537275801067544</v>
      </c>
      <c r="BX14" s="41">
        <f t="shared" si="44"/>
        <v>7654.5032296222171</v>
      </c>
      <c r="BY14" s="38">
        <f t="shared" si="45"/>
        <v>3.9085402367197854E-2</v>
      </c>
      <c r="BZ14" s="41">
        <f t="shared" si="46"/>
        <v>45133.789025727434</v>
      </c>
      <c r="CA14" s="54">
        <f t="shared" si="47"/>
        <v>4.2646311641629034E-2</v>
      </c>
      <c r="CB14" s="62">
        <f>BX26*SUM(AF14:AF26)+BX25*SUM(AF14:AF25)+BX24*SUM(AF14:AF24)+BX23*SUM(AF14:AF23)+BX22*SUM(AF14:AF22)+BX21*SUM(AF14:AF21)+BX20*SUM(AF14:AF20)+BX19*SUM(AF14:AF19)+BX18*SUM(AF14:AF18)+BX17*SUM(AF14:AF17)+BX16*SUM(AF14:AF16)+BX15*SUM(AF14:AF15)+BX14*AF14</f>
        <v>4722438.346134685</v>
      </c>
      <c r="CC14"/>
    </row>
    <row r="15" spans="1:81" x14ac:dyDescent="0.3">
      <c r="A15" s="169">
        <v>14</v>
      </c>
      <c r="B15" s="19" t="s">
        <v>54</v>
      </c>
      <c r="C15" s="21">
        <v>42.656999999999996</v>
      </c>
      <c r="D15" s="20">
        <f t="shared" si="0"/>
        <v>869.48119500000007</v>
      </c>
      <c r="E15" s="21">
        <v>2.5009999999999999</v>
      </c>
      <c r="F15" s="7">
        <v>0.18</v>
      </c>
      <c r="G15" s="175">
        <f t="shared" si="2"/>
        <v>0.45017999999999997</v>
      </c>
      <c r="H15" s="175">
        <f t="shared" si="3"/>
        <v>0.53400000000000003</v>
      </c>
      <c r="I15" s="176">
        <f t="shared" si="4"/>
        <v>62.6464538164091</v>
      </c>
      <c r="J15" s="177">
        <f t="shared" si="5"/>
        <v>2.4463940272818748E-3</v>
      </c>
      <c r="K15" s="178">
        <f t="shared" si="1"/>
        <v>80000000</v>
      </c>
      <c r="L15" s="183"/>
      <c r="M15" s="179">
        <f t="shared" si="6"/>
        <v>0.53400000000000003</v>
      </c>
      <c r="N15" s="5">
        <f t="shared" si="7"/>
        <v>-0.12019806</v>
      </c>
      <c r="O15" s="180">
        <f t="shared" si="8"/>
        <v>5.4342574687500003E-3</v>
      </c>
      <c r="R15" s="29">
        <v>42.656999999999996</v>
      </c>
      <c r="S15" s="20">
        <v>479.053</v>
      </c>
      <c r="T15" s="35">
        <f t="shared" si="9"/>
        <v>718.57950000000005</v>
      </c>
      <c r="U15" s="35">
        <f t="shared" si="10"/>
        <v>869.48119500000007</v>
      </c>
      <c r="V15" s="182">
        <f t="shared" si="11"/>
        <v>769.10878352581972</v>
      </c>
      <c r="Z15" s="76">
        <v>8</v>
      </c>
      <c r="AA15" s="77">
        <v>7</v>
      </c>
      <c r="AB15" s="101" t="s">
        <v>51</v>
      </c>
      <c r="AC15" s="21">
        <v>3.8439999999999999</v>
      </c>
      <c r="AD15" s="37">
        <v>9.0109999999999992</v>
      </c>
      <c r="AE15" s="21">
        <v>20.401</v>
      </c>
      <c r="AF15" s="45">
        <v>3.7090000000000001</v>
      </c>
      <c r="AG15" s="48">
        <v>6.8040200000000004</v>
      </c>
      <c r="AH15" s="39">
        <v>0</v>
      </c>
      <c r="AI15" s="49">
        <v>0.23635200000000001</v>
      </c>
      <c r="AJ15" s="48">
        <f t="shared" si="14"/>
        <v>6.8040200000000004</v>
      </c>
      <c r="AK15" s="39">
        <v>1.1106599999999999E-2</v>
      </c>
      <c r="AL15" s="39">
        <v>1.1624000000000001</v>
      </c>
      <c r="AM15" s="39">
        <f t="shared" si="15"/>
        <v>11</v>
      </c>
      <c r="AN15" s="39">
        <v>30.601700000000001</v>
      </c>
      <c r="AO15" s="39">
        <f t="shared" si="16"/>
        <v>0.23635200000000001</v>
      </c>
      <c r="AP15" s="39">
        <v>2.6938200000000001</v>
      </c>
      <c r="AQ15" s="41">
        <v>2460.5500000000002</v>
      </c>
      <c r="AR15" s="39">
        <v>24.1264</v>
      </c>
      <c r="AS15" s="39">
        <v>2460.5500000000002</v>
      </c>
      <c r="AT15" s="215">
        <f t="shared" si="12"/>
        <v>3851.68</v>
      </c>
      <c r="AU15" s="53">
        <f t="shared" si="17"/>
        <v>21.758101074971691</v>
      </c>
      <c r="AV15" s="41">
        <f t="shared" si="18"/>
        <v>3.7090000000000001</v>
      </c>
      <c r="AW15" s="40">
        <f t="shared" si="13"/>
        <v>3.8439999999999999</v>
      </c>
      <c r="AX15" s="42">
        <f t="shared" si="19"/>
        <v>1.3684631833200762</v>
      </c>
      <c r="AY15" s="42">
        <f t="shared" si="20"/>
        <v>29.775160260055731</v>
      </c>
      <c r="AZ15" s="37">
        <f t="shared" si="21"/>
        <v>11</v>
      </c>
      <c r="BA15" s="41">
        <f t="shared" si="22"/>
        <v>0.23635200000000001</v>
      </c>
      <c r="BB15" s="41">
        <f t="shared" si="23"/>
        <v>2.599872</v>
      </c>
      <c r="BC15" s="41">
        <f t="shared" si="24"/>
        <v>30.937393538053364</v>
      </c>
      <c r="BD15" s="41">
        <f t="shared" si="25"/>
        <v>0.33569353805336277</v>
      </c>
      <c r="BE15" s="38">
        <f t="shared" si="26"/>
        <v>1.0850737559402208E-2</v>
      </c>
      <c r="BF15" s="41">
        <f t="shared" si="27"/>
        <v>0.27497224344410043</v>
      </c>
      <c r="BG15" s="41">
        <f t="shared" si="28"/>
        <v>15.754749032590775</v>
      </c>
      <c r="BH15" s="41">
        <f t="shared" si="29"/>
        <v>6.7437490325907756</v>
      </c>
      <c r="BI15" s="41">
        <f t="shared" si="30"/>
        <v>-6.0270967409224774E-2</v>
      </c>
      <c r="BJ15" s="38">
        <f t="shared" si="31"/>
        <v>-8.9373087755714141E-3</v>
      </c>
      <c r="BK15" s="41">
        <f t="shared" si="32"/>
        <v>25.028685824039503</v>
      </c>
      <c r="BL15" s="41">
        <f t="shared" si="33"/>
        <v>0.90228582403950242</v>
      </c>
      <c r="BM15" s="38">
        <f t="shared" si="34"/>
        <v>3.6050067925375316E-2</v>
      </c>
      <c r="BN15" s="41">
        <f t="shared" si="35"/>
        <v>2619.464498754211</v>
      </c>
      <c r="BO15" s="41">
        <f t="shared" si="36"/>
        <v>158.91449875421085</v>
      </c>
      <c r="BP15" s="38">
        <f t="shared" si="48"/>
        <v>6.0666788509555626E-2</v>
      </c>
      <c r="BQ15" s="43">
        <f t="shared" si="37"/>
        <v>2619.5840691506214</v>
      </c>
      <c r="BR15" s="41">
        <f t="shared" si="38"/>
        <v>2527.8541747330314</v>
      </c>
      <c r="BS15" s="41">
        <f t="shared" si="39"/>
        <v>67.304174733031232</v>
      </c>
      <c r="BT15" s="38">
        <f t="shared" si="40"/>
        <v>2.6625022679616903E-2</v>
      </c>
      <c r="BU15" s="41">
        <f t="shared" si="41"/>
        <v>687.1491589404103</v>
      </c>
      <c r="BV15" s="41">
        <f t="shared" si="42"/>
        <v>-3164.5308410595894</v>
      </c>
      <c r="BW15" s="38">
        <f t="shared" si="43"/>
        <v>-4.6053041030266586</v>
      </c>
      <c r="BX15" s="41">
        <f t="shared" si="44"/>
        <v>9375.8111340848136</v>
      </c>
      <c r="BY15" s="38">
        <f t="shared" si="45"/>
        <v>4.787473983633616E-2</v>
      </c>
      <c r="BZ15" s="41">
        <f t="shared" si="46"/>
        <v>55453.484706771029</v>
      </c>
      <c r="CA15" s="54">
        <f t="shared" si="47"/>
        <v>5.2397253620147424E-2</v>
      </c>
      <c r="CB15" s="62">
        <f>BX26*SUM(AF15:AF26)+BX25*SUM(AF15:AF25)+BX24*SUM(AF15:AF24)+BX23*SUM(AF15:AF23)+BX22*SUM(AF15:AF22)+BX21*SUM(AF15:AF21)+BX20*SUM(AF15:AF20)+BX19*SUM(AF15:AF19)+BX18*SUM(AF15:AF18)+BX17*SUM(AF15:AF17)+BX16*SUM(AF15:AF16)+BX15*AF15</f>
        <v>4035488.9648794206</v>
      </c>
      <c r="CC15"/>
    </row>
    <row r="16" spans="1:81" x14ac:dyDescent="0.3">
      <c r="A16" s="169">
        <v>15</v>
      </c>
      <c r="B16" s="19" t="s">
        <v>54</v>
      </c>
      <c r="C16" s="21">
        <v>46.366999999999997</v>
      </c>
      <c r="D16" s="20">
        <f t="shared" si="0"/>
        <v>414.90718500000003</v>
      </c>
      <c r="E16" s="21">
        <v>2.278</v>
      </c>
      <c r="F16" s="7">
        <v>0.18</v>
      </c>
      <c r="G16" s="175">
        <f t="shared" si="2"/>
        <v>0.41004000000000002</v>
      </c>
      <c r="H16" s="175">
        <f t="shared" si="3"/>
        <v>0.53400000000000003</v>
      </c>
      <c r="I16" s="176">
        <f t="shared" si="4"/>
        <v>27.329040442036256</v>
      </c>
      <c r="J16" s="177">
        <f t="shared" si="5"/>
        <v>1.0633033883587504E-3</v>
      </c>
      <c r="K16" s="178">
        <f t="shared" si="1"/>
        <v>80000000</v>
      </c>
      <c r="L16" s="183"/>
      <c r="M16" s="179">
        <f t="shared" si="6"/>
        <v>0.53400000000000003</v>
      </c>
      <c r="N16" s="5">
        <f t="shared" si="7"/>
        <v>-0.10948068000000001</v>
      </c>
      <c r="O16" s="180">
        <f t="shared" si="8"/>
        <v>2.5931699062500002E-3</v>
      </c>
      <c r="R16" s="29">
        <v>46.366999999999997</v>
      </c>
      <c r="S16" s="20">
        <v>228.59899999999999</v>
      </c>
      <c r="T16" s="35">
        <f t="shared" si="9"/>
        <v>342.89850000000001</v>
      </c>
      <c r="U16" s="35">
        <f t="shared" si="10"/>
        <v>414.90718500000003</v>
      </c>
      <c r="V16" s="182">
        <f t="shared" si="11"/>
        <v>440.42734559547279</v>
      </c>
      <c r="Z16" s="76">
        <v>9</v>
      </c>
      <c r="AA16" s="77">
        <v>8</v>
      </c>
      <c r="AB16" s="101" t="s">
        <v>52</v>
      </c>
      <c r="AC16" s="21">
        <v>3.625</v>
      </c>
      <c r="AD16" s="37">
        <v>7.7949999999999999</v>
      </c>
      <c r="AE16" s="21">
        <v>24.111000000000001</v>
      </c>
      <c r="AF16" s="45">
        <v>3.7090000000000001</v>
      </c>
      <c r="AG16" s="48">
        <v>5.6757799999999996</v>
      </c>
      <c r="AH16" s="39">
        <v>0</v>
      </c>
      <c r="AI16" s="49">
        <v>0.24931300000000001</v>
      </c>
      <c r="AJ16" s="48">
        <f t="shared" si="14"/>
        <v>5.6757799999999996</v>
      </c>
      <c r="AK16" s="39">
        <v>9.4998700000000005E-3</v>
      </c>
      <c r="AL16" s="39">
        <v>1.12425</v>
      </c>
      <c r="AM16" s="39">
        <f t="shared" si="15"/>
        <v>11</v>
      </c>
      <c r="AN16" s="39">
        <v>35.232999999999997</v>
      </c>
      <c r="AO16" s="39">
        <f t="shared" si="16"/>
        <v>0.24931300000000001</v>
      </c>
      <c r="AP16" s="39">
        <v>2.81304</v>
      </c>
      <c r="AQ16" s="41">
        <v>3087.69</v>
      </c>
      <c r="AR16" s="39">
        <v>25.6891</v>
      </c>
      <c r="AS16" s="39">
        <v>3008.59</v>
      </c>
      <c r="AT16" s="215">
        <f t="shared" si="12"/>
        <v>3084.64</v>
      </c>
      <c r="AU16" s="53">
        <f t="shared" si="17"/>
        <v>25.468101074971692</v>
      </c>
      <c r="AV16" s="41">
        <f t="shared" si="18"/>
        <v>3.7090000000000001</v>
      </c>
      <c r="AW16" s="40">
        <f t="shared" si="13"/>
        <v>3.625</v>
      </c>
      <c r="AX16" s="42">
        <f t="shared" si="19"/>
        <v>1.3684631833200762</v>
      </c>
      <c r="AY16" s="42">
        <f t="shared" si="20"/>
        <v>34.852158670173218</v>
      </c>
      <c r="AZ16" s="37">
        <f t="shared" si="21"/>
        <v>11</v>
      </c>
      <c r="BA16" s="41">
        <f t="shared" si="22"/>
        <v>0.24931300000000001</v>
      </c>
      <c r="BB16" s="41">
        <f t="shared" si="23"/>
        <v>2.7424430000000002</v>
      </c>
      <c r="BC16" s="41">
        <f t="shared" si="24"/>
        <v>35.817038006780784</v>
      </c>
      <c r="BD16" s="41">
        <f t="shared" si="25"/>
        <v>0.5840380067807871</v>
      </c>
      <c r="BE16" s="38">
        <f t="shared" si="26"/>
        <v>1.6306150348619521E-2</v>
      </c>
      <c r="BF16" s="41">
        <f t="shared" si="27"/>
        <v>0.23264111851513158</v>
      </c>
      <c r="BG16" s="41">
        <f t="shared" si="28"/>
        <v>13.329354232119833</v>
      </c>
      <c r="BH16" s="41">
        <f t="shared" si="29"/>
        <v>5.5343542321198331</v>
      </c>
      <c r="BI16" s="41">
        <f t="shared" si="30"/>
        <v>-0.14142576788016648</v>
      </c>
      <c r="BJ16" s="38">
        <f t="shared" si="31"/>
        <v>-2.5554158976556135E-2</v>
      </c>
      <c r="BK16" s="41">
        <f t="shared" si="32"/>
        <v>27.058960067884758</v>
      </c>
      <c r="BL16" s="41">
        <f t="shared" si="33"/>
        <v>1.3698600678847583</v>
      </c>
      <c r="BM16" s="38">
        <f t="shared" si="34"/>
        <v>5.0625007925215598E-2</v>
      </c>
      <c r="BN16" s="41">
        <f t="shared" si="35"/>
        <v>3202.2581210394915</v>
      </c>
      <c r="BO16" s="41">
        <f t="shared" si="36"/>
        <v>114.56812103949142</v>
      </c>
      <c r="BP16" s="38">
        <f t="shared" si="48"/>
        <v>3.5777291120523795E-2</v>
      </c>
      <c r="BQ16" s="43">
        <f t="shared" si="37"/>
        <v>3202.3724425936671</v>
      </c>
      <c r="BR16" s="41">
        <f t="shared" si="38"/>
        <v>3122.2305155794629</v>
      </c>
      <c r="BS16" s="41">
        <f t="shared" si="39"/>
        <v>113.64051557946277</v>
      </c>
      <c r="BT16" s="38">
        <f t="shared" si="40"/>
        <v>3.6397221477534603E-2</v>
      </c>
      <c r="BU16" s="41">
        <f t="shared" si="41"/>
        <v>711.94513037714501</v>
      </c>
      <c r="BV16" s="41">
        <f t="shared" si="42"/>
        <v>-2372.6948696228546</v>
      </c>
      <c r="BW16" s="38">
        <f t="shared" si="43"/>
        <v>-3.3326934455832937</v>
      </c>
      <c r="BX16" s="41">
        <f t="shared" si="44"/>
        <v>11580.352982284228</v>
      </c>
      <c r="BY16" s="38">
        <f t="shared" si="45"/>
        <v>5.9131565078599832E-2</v>
      </c>
      <c r="BZ16" s="41">
        <f t="shared" si="46"/>
        <v>67251.182013894926</v>
      </c>
      <c r="CA16" s="54">
        <f t="shared" si="47"/>
        <v>6.3544739503205397E-2</v>
      </c>
      <c r="CB16" s="62">
        <f>BX26*SUM(AF16:AF26)+BX25*SUM(AF16:AF25)+BX24*SUM(AF16:AF24)+BX23*SUM(AF16:AF23)+BX22*SUM(AF16:AF22)+BX21*SUM(AF16:AF21)+BX20*SUM(AF16:AF20)+BX19*SUM(AF16:AF19)+BX18*SUM(AF16:AF18)+BX17*SUM(AF16:AF17)+BX16*AF16</f>
        <v>3376930.1361028245</v>
      </c>
      <c r="CC16"/>
    </row>
    <row r="17" spans="1:81" x14ac:dyDescent="0.3">
      <c r="A17" s="169">
        <v>16</v>
      </c>
      <c r="B17" s="19" t="s">
        <v>54</v>
      </c>
      <c r="C17" s="21">
        <v>49.457999999999998</v>
      </c>
      <c r="D17" s="20">
        <f t="shared" si="0"/>
        <v>160.8164415</v>
      </c>
      <c r="E17" s="21">
        <v>2.0960000000000001</v>
      </c>
      <c r="F17" s="7">
        <v>0.18</v>
      </c>
      <c r="G17" s="175">
        <f t="shared" si="2"/>
        <v>0.37728</v>
      </c>
      <c r="H17" s="175">
        <f t="shared" si="3"/>
        <v>0.53400000000000003</v>
      </c>
      <c r="I17" s="176">
        <f t="shared" si="4"/>
        <v>10.570089583311372</v>
      </c>
      <c r="J17" s="177">
        <f t="shared" si="5"/>
        <v>3.7920516905699998E-4</v>
      </c>
      <c r="K17" s="178">
        <f t="shared" si="1"/>
        <v>80000000</v>
      </c>
      <c r="L17" s="183"/>
      <c r="M17" s="179">
        <f t="shared" si="6"/>
        <v>0.53400000000000003</v>
      </c>
      <c r="N17" s="5">
        <f t="shared" si="7"/>
        <v>-0.10073376000000001</v>
      </c>
      <c r="O17" s="180">
        <f t="shared" si="8"/>
        <v>1.0051027593749999E-3</v>
      </c>
      <c r="R17" s="29">
        <v>49.457999999999998</v>
      </c>
      <c r="S17" s="20">
        <v>88.604100000000003</v>
      </c>
      <c r="T17" s="35">
        <f t="shared" si="9"/>
        <v>132.90615</v>
      </c>
      <c r="U17" s="35">
        <f t="shared" si="10"/>
        <v>160.8164415</v>
      </c>
      <c r="V17" s="182">
        <f t="shared" si="11"/>
        <v>212.99318261575129</v>
      </c>
      <c r="Z17" s="76">
        <v>10</v>
      </c>
      <c r="AA17" s="77">
        <v>9</v>
      </c>
      <c r="AB17" s="101" t="s">
        <v>52</v>
      </c>
      <c r="AC17" s="21">
        <v>3.391</v>
      </c>
      <c r="AD17" s="37">
        <v>6.5439999999999996</v>
      </c>
      <c r="AE17" s="21">
        <v>27.82</v>
      </c>
      <c r="AF17" s="45">
        <v>3.7090000000000001</v>
      </c>
      <c r="AG17" s="48">
        <v>5.2329600000000003</v>
      </c>
      <c r="AH17" s="39">
        <v>0</v>
      </c>
      <c r="AI17" s="49">
        <v>0.25525900000000001</v>
      </c>
      <c r="AJ17" s="48">
        <f t="shared" si="14"/>
        <v>5.2329600000000003</v>
      </c>
      <c r="AK17" s="39">
        <v>8.6442900000000007E-3</v>
      </c>
      <c r="AL17" s="39">
        <v>1.0826100000000001</v>
      </c>
      <c r="AM17" s="39">
        <f t="shared" si="15"/>
        <v>11</v>
      </c>
      <c r="AN17" s="39">
        <v>39.933500000000002</v>
      </c>
      <c r="AO17" s="39">
        <f t="shared" si="16"/>
        <v>0.25525900000000001</v>
      </c>
      <c r="AP17" s="39">
        <v>2.8622200000000002</v>
      </c>
      <c r="AQ17" s="41">
        <v>3573.26</v>
      </c>
      <c r="AR17" s="39">
        <v>28.183700000000002</v>
      </c>
      <c r="AS17" s="39">
        <v>3503.63</v>
      </c>
      <c r="AT17" s="215">
        <f t="shared" si="12"/>
        <v>2392.4899999999998</v>
      </c>
      <c r="AU17" s="53">
        <f t="shared" si="17"/>
        <v>29.177101074971691</v>
      </c>
      <c r="AV17" s="41">
        <f t="shared" si="18"/>
        <v>3.7090000000000001</v>
      </c>
      <c r="AW17" s="40">
        <f t="shared" si="13"/>
        <v>3.391</v>
      </c>
      <c r="AX17" s="42">
        <f t="shared" si="19"/>
        <v>1.3684631833200762</v>
      </c>
      <c r="AY17" s="42">
        <f t="shared" si="20"/>
        <v>39.927788617107382</v>
      </c>
      <c r="AZ17" s="37">
        <f t="shared" si="21"/>
        <v>11</v>
      </c>
      <c r="BA17" s="41">
        <f t="shared" si="22"/>
        <v>0.25525900000000001</v>
      </c>
      <c r="BB17" s="41">
        <f t="shared" si="23"/>
        <v>2.807849</v>
      </c>
      <c r="BC17" s="41">
        <f t="shared" si="24"/>
        <v>40.759534367546578</v>
      </c>
      <c r="BD17" s="41">
        <f t="shared" si="25"/>
        <v>0.82603436754657622</v>
      </c>
      <c r="BE17" s="38">
        <f t="shared" si="26"/>
        <v>2.0266040335443051E-2</v>
      </c>
      <c r="BF17" s="41">
        <f t="shared" si="27"/>
        <v>0.20236573951304562</v>
      </c>
      <c r="BG17" s="41">
        <f t="shared" si="28"/>
        <v>11.594702792141312</v>
      </c>
      <c r="BH17" s="41">
        <f t="shared" si="29"/>
        <v>5.0507027921413128</v>
      </c>
      <c r="BI17" s="41">
        <f t="shared" si="30"/>
        <v>-0.18225720785868749</v>
      </c>
      <c r="BJ17" s="38">
        <f t="shared" si="31"/>
        <v>-3.6085514305508583E-2</v>
      </c>
      <c r="BK17" s="41">
        <f t="shared" si="32"/>
        <v>29.827828618943649</v>
      </c>
      <c r="BL17" s="41">
        <f t="shared" si="33"/>
        <v>1.6441286189436468</v>
      </c>
      <c r="BM17" s="38">
        <f t="shared" si="34"/>
        <v>5.5120627114622116E-2</v>
      </c>
      <c r="BN17" s="41">
        <f t="shared" si="35"/>
        <v>3735.6342211048659</v>
      </c>
      <c r="BO17" s="41">
        <f t="shared" si="36"/>
        <v>162.37422110486568</v>
      </c>
      <c r="BP17" s="38">
        <f t="shared" si="48"/>
        <v>4.3466306253303687E-2</v>
      </c>
      <c r="BQ17" s="43">
        <f t="shared" si="37"/>
        <v>3735.753301979385</v>
      </c>
      <c r="BR17" s="41">
        <f t="shared" si="38"/>
        <v>3665.39927222797</v>
      </c>
      <c r="BS17" s="41">
        <f t="shared" si="39"/>
        <v>161.76927222796985</v>
      </c>
      <c r="BT17" s="38">
        <f t="shared" si="40"/>
        <v>4.4134147527573525E-2</v>
      </c>
      <c r="BU17" s="41">
        <f t="shared" si="41"/>
        <v>721.59608396979661</v>
      </c>
      <c r="BV17" s="41">
        <f t="shared" si="42"/>
        <v>-1670.8939160302032</v>
      </c>
      <c r="BW17" s="38">
        <f t="shared" si="43"/>
        <v>-2.3155529154730567</v>
      </c>
      <c r="BX17" s="41">
        <f t="shared" si="44"/>
        <v>13594.965900693542</v>
      </c>
      <c r="BY17" s="38">
        <f t="shared" si="45"/>
        <v>6.9418575766041796E-2</v>
      </c>
      <c r="BZ17" s="41">
        <f t="shared" si="46"/>
        <v>78089.589682870515</v>
      </c>
      <c r="CA17" s="54">
        <f t="shared" si="47"/>
        <v>7.3785805479001904E-2</v>
      </c>
      <c r="CB17" s="62">
        <f>BX26*SUM(AF17:AF26)+BX25*SUM(AF17:AF25)+BX24*SUM(AF17:AF24)+BX23*SUM(AF17:AF23)+BX22*SUM(AF17:AF22)+BX21*SUM(AF17:AF21)+BX20*SUM(AF17:AF20)+BX19*SUM(AF17:AF19)+BX18*SUM(AF17:AF18)+BX17*AF17</f>
        <v>2753146.1908225506</v>
      </c>
      <c r="CC17"/>
    </row>
    <row r="18" spans="1:81" x14ac:dyDescent="0.3">
      <c r="A18" s="169">
        <v>17</v>
      </c>
      <c r="B18" s="19" t="s">
        <v>54</v>
      </c>
      <c r="C18" s="21">
        <v>51.930999999999997</v>
      </c>
      <c r="D18" s="20">
        <f t="shared" si="0"/>
        <v>44.687659500000002</v>
      </c>
      <c r="E18" s="21">
        <v>1.887</v>
      </c>
      <c r="F18" s="7">
        <v>0.18</v>
      </c>
      <c r="G18" s="175">
        <f t="shared" si="2"/>
        <v>0.33965999999999996</v>
      </c>
      <c r="H18" s="175">
        <f t="shared" si="3"/>
        <v>0.53400000000000003</v>
      </c>
      <c r="I18" s="176">
        <f t="shared" si="4"/>
        <v>3.1376956766876494</v>
      </c>
      <c r="J18" s="177">
        <f t="shared" si="5"/>
        <v>9.4866315161062499E-5</v>
      </c>
      <c r="K18" s="178">
        <f t="shared" si="1"/>
        <v>80000000</v>
      </c>
      <c r="L18" s="183"/>
      <c r="M18" s="179">
        <f t="shared" si="6"/>
        <v>0.53400000000000003</v>
      </c>
      <c r="N18" s="5">
        <f t="shared" si="7"/>
        <v>-9.0689220000000001E-2</v>
      </c>
      <c r="O18" s="180">
        <f t="shared" si="8"/>
        <v>2.7929787187500001E-4</v>
      </c>
      <c r="R18" s="29">
        <v>51.930999999999997</v>
      </c>
      <c r="S18" s="20">
        <v>24.621300000000002</v>
      </c>
      <c r="T18" s="35">
        <f t="shared" si="9"/>
        <v>36.931950000000001</v>
      </c>
      <c r="U18" s="35">
        <f t="shared" si="10"/>
        <v>44.687659500000002</v>
      </c>
      <c r="V18" s="182">
        <f t="shared" si="11"/>
        <v>100.57325879097601</v>
      </c>
      <c r="Z18" s="76">
        <v>11</v>
      </c>
      <c r="AA18" s="77">
        <v>10</v>
      </c>
      <c r="AB18" s="101" t="s">
        <v>53</v>
      </c>
      <c r="AC18" s="21">
        <v>3.1680000000000001</v>
      </c>
      <c r="AD18" s="37">
        <v>5.3609999999999998</v>
      </c>
      <c r="AE18" s="21">
        <v>31.529</v>
      </c>
      <c r="AF18" s="45">
        <v>3.7090000000000001</v>
      </c>
      <c r="AG18" s="48">
        <v>4.9206399999999997</v>
      </c>
      <c r="AH18" s="39">
        <v>0</v>
      </c>
      <c r="AI18" s="49">
        <v>0.27241799999999999</v>
      </c>
      <c r="AJ18" s="48">
        <f t="shared" si="14"/>
        <v>4.9206399999999997</v>
      </c>
      <c r="AK18" s="39">
        <v>8.8202200000000001E-3</v>
      </c>
      <c r="AL18" s="39">
        <v>1.0855600000000001</v>
      </c>
      <c r="AM18" s="39">
        <f t="shared" si="15"/>
        <v>11</v>
      </c>
      <c r="AN18" s="39">
        <v>44.6663</v>
      </c>
      <c r="AO18" s="39">
        <f t="shared" si="16"/>
        <v>0.27241799999999999</v>
      </c>
      <c r="AP18" s="39">
        <v>3.0396800000000002</v>
      </c>
      <c r="AQ18" s="41">
        <v>4190.33</v>
      </c>
      <c r="AR18" s="39">
        <v>33.746200000000002</v>
      </c>
      <c r="AS18" s="39">
        <v>4128.29</v>
      </c>
      <c r="AT18" s="215">
        <f t="shared" si="12"/>
        <v>1780.32</v>
      </c>
      <c r="AU18" s="53">
        <f t="shared" si="17"/>
        <v>32.886101074971691</v>
      </c>
      <c r="AV18" s="41">
        <f t="shared" si="18"/>
        <v>3.7090000000000001</v>
      </c>
      <c r="AW18" s="40">
        <f t="shared" si="13"/>
        <v>3.1680000000000001</v>
      </c>
      <c r="AX18" s="42">
        <f t="shared" si="19"/>
        <v>1.3684631833200762</v>
      </c>
      <c r="AY18" s="42">
        <f t="shared" si="20"/>
        <v>45.003418564041539</v>
      </c>
      <c r="AZ18" s="37">
        <f t="shared" si="21"/>
        <v>11</v>
      </c>
      <c r="BA18" s="41">
        <f t="shared" si="22"/>
        <v>0.27241799999999999</v>
      </c>
      <c r="BB18" s="41">
        <f t="shared" si="23"/>
        <v>2.9965980000000001</v>
      </c>
      <c r="BC18" s="41">
        <f t="shared" si="24"/>
        <v>45.709540864287</v>
      </c>
      <c r="BD18" s="41">
        <f t="shared" si="25"/>
        <v>1.0432408642870001</v>
      </c>
      <c r="BE18" s="38">
        <f t="shared" si="26"/>
        <v>2.2823262814746129E-2</v>
      </c>
      <c r="BF18" s="41">
        <f t="shared" si="27"/>
        <v>0.17599981242743493</v>
      </c>
      <c r="BG18" s="41">
        <f t="shared" si="28"/>
        <v>10.084046447186157</v>
      </c>
      <c r="BH18" s="41">
        <f t="shared" si="29"/>
        <v>4.7230464471861575</v>
      </c>
      <c r="BI18" s="41">
        <f t="shared" si="30"/>
        <v>-0.19759355281384217</v>
      </c>
      <c r="BJ18" s="38">
        <f t="shared" si="31"/>
        <v>-4.183603846021082E-2</v>
      </c>
      <c r="BK18" s="41">
        <f t="shared" si="32"/>
        <v>35.758920659170016</v>
      </c>
      <c r="BL18" s="41">
        <f t="shared" si="33"/>
        <v>2.0127206591700144</v>
      </c>
      <c r="BM18" s="38">
        <f t="shared" si="34"/>
        <v>5.6285833634463246E-2</v>
      </c>
      <c r="BN18" s="41">
        <f t="shared" si="35"/>
        <v>4401.0754732612804</v>
      </c>
      <c r="BO18" s="41">
        <f t="shared" si="36"/>
        <v>210.74547326128049</v>
      </c>
      <c r="BP18" s="38">
        <f t="shared" si="48"/>
        <v>4.7884994143287007E-2</v>
      </c>
      <c r="BQ18" s="43">
        <f t="shared" si="37"/>
        <v>4401.22074222013</v>
      </c>
      <c r="BR18" s="41">
        <f t="shared" si="38"/>
        <v>4339.3486550464831</v>
      </c>
      <c r="BS18" s="41">
        <f t="shared" si="39"/>
        <v>211.05865504648318</v>
      </c>
      <c r="BT18" s="38">
        <f t="shared" si="40"/>
        <v>4.8638326123214524E-2</v>
      </c>
      <c r="BU18" s="41">
        <f t="shared" si="41"/>
        <v>735.38919742880762</v>
      </c>
      <c r="BV18" s="41">
        <f t="shared" si="42"/>
        <v>-1044.9308025711923</v>
      </c>
      <c r="BW18" s="38">
        <f t="shared" si="43"/>
        <v>-1.4209221541799315</v>
      </c>
      <c r="BX18" s="41">
        <f t="shared" si="44"/>
        <v>16094.644161567407</v>
      </c>
      <c r="BY18" s="38">
        <f t="shared" si="45"/>
        <v>8.2182425709523277E-2</v>
      </c>
      <c r="BZ18" s="41">
        <f t="shared" si="46"/>
        <v>89698.765612803269</v>
      </c>
      <c r="CA18" s="54">
        <f t="shared" si="47"/>
        <v>8.475516004234683E-2</v>
      </c>
      <c r="CB18" s="62">
        <f>BX26*SUM(AF18:AF26)+BX25*SUM(AF18:AF25)+BX24*SUM(AF18:AF24)+BX23*SUM(AF18:AF23)+BX22*SUM(AF18:AF22)+BX21*SUM(AF18:AF21)+BX20*SUM(AF18:AF20)+BX19*SUM(AF18:AF19)+BX18*AF18</f>
        <v>2172313.7747535673</v>
      </c>
      <c r="CC18"/>
    </row>
    <row r="19" spans="1:81" x14ac:dyDescent="0.3">
      <c r="A19" s="169">
        <v>18</v>
      </c>
      <c r="B19" s="19" t="s">
        <v>54</v>
      </c>
      <c r="C19" s="21">
        <v>54.404000000000003</v>
      </c>
      <c r="D19" s="20">
        <f t="shared" si="0"/>
        <v>2.2130113499999999</v>
      </c>
      <c r="E19" s="21">
        <v>1.284</v>
      </c>
      <c r="F19" s="7">
        <v>0.18</v>
      </c>
      <c r="G19" s="175">
        <f t="shared" si="2"/>
        <v>0.23111999999999999</v>
      </c>
      <c r="H19" s="175">
        <f t="shared" si="3"/>
        <v>0.53400000000000003</v>
      </c>
      <c r="I19" s="176">
        <f t="shared" si="4"/>
        <v>0.22457410521771193</v>
      </c>
      <c r="J19" s="177">
        <f t="shared" si="5"/>
        <v>3.1966948950749993E-6</v>
      </c>
      <c r="K19" s="178">
        <f t="shared" si="1"/>
        <v>80000000</v>
      </c>
      <c r="L19" s="183"/>
      <c r="M19" s="179">
        <f t="shared" si="6"/>
        <v>0.53400000000000003</v>
      </c>
      <c r="N19" s="5">
        <f t="shared" si="7"/>
        <v>-6.170904E-2</v>
      </c>
      <c r="O19" s="180">
        <f t="shared" si="8"/>
        <v>1.3831320937499999E-5</v>
      </c>
      <c r="R19" s="29">
        <v>54.404000000000003</v>
      </c>
      <c r="S19" s="20">
        <v>1.21929</v>
      </c>
      <c r="T19" s="35">
        <f t="shared" si="9"/>
        <v>1.828935</v>
      </c>
      <c r="U19" s="35">
        <f t="shared" si="10"/>
        <v>2.2130113499999999</v>
      </c>
      <c r="V19" s="182">
        <f t="shared" si="11"/>
        <v>25.525808888560146</v>
      </c>
      <c r="Z19" s="76">
        <v>12</v>
      </c>
      <c r="AA19" s="77">
        <v>11</v>
      </c>
      <c r="AB19" s="101" t="s">
        <v>53</v>
      </c>
      <c r="AC19" s="21">
        <v>2.9460000000000002</v>
      </c>
      <c r="AD19" s="37">
        <v>4.1879999999999997</v>
      </c>
      <c r="AE19" s="21">
        <v>35.238999999999997</v>
      </c>
      <c r="AF19" s="45">
        <v>3.7090000000000001</v>
      </c>
      <c r="AG19" s="48">
        <v>4.93804</v>
      </c>
      <c r="AH19" s="39">
        <v>0</v>
      </c>
      <c r="AI19" s="49">
        <v>0.28544399999999998</v>
      </c>
      <c r="AJ19" s="48">
        <f t="shared" si="14"/>
        <v>4.93804</v>
      </c>
      <c r="AK19" s="39">
        <v>8.8549400000000004E-3</v>
      </c>
      <c r="AL19" s="39">
        <v>1.0876600000000001</v>
      </c>
      <c r="AM19" s="39">
        <f t="shared" si="15"/>
        <v>11</v>
      </c>
      <c r="AN19" s="39">
        <v>49.432600000000001</v>
      </c>
      <c r="AO19" s="39">
        <f t="shared" si="16"/>
        <v>0.28544399999999998</v>
      </c>
      <c r="AP19" s="39">
        <v>3.1745399999999999</v>
      </c>
      <c r="AQ19" s="41">
        <v>4782.9399999999996</v>
      </c>
      <c r="AR19" s="39">
        <v>38.624400000000001</v>
      </c>
      <c r="AS19" s="39">
        <v>4725.84</v>
      </c>
      <c r="AT19" s="215">
        <f t="shared" si="12"/>
        <v>1254.96</v>
      </c>
      <c r="AU19" s="53">
        <f t="shared" si="17"/>
        <v>36.596101074971685</v>
      </c>
      <c r="AV19" s="41">
        <f t="shared" si="18"/>
        <v>3.7090000000000001</v>
      </c>
      <c r="AW19" s="40">
        <f t="shared" si="13"/>
        <v>2.9460000000000002</v>
      </c>
      <c r="AX19" s="42">
        <f t="shared" si="19"/>
        <v>1.3684631833200762</v>
      </c>
      <c r="AY19" s="42">
        <f t="shared" si="20"/>
        <v>50.080416974159014</v>
      </c>
      <c r="AZ19" s="37">
        <f t="shared" si="21"/>
        <v>11</v>
      </c>
      <c r="BA19" s="41">
        <f t="shared" si="22"/>
        <v>0.28544399999999998</v>
      </c>
      <c r="BB19" s="41">
        <f t="shared" si="23"/>
        <v>3.1398839999999999</v>
      </c>
      <c r="BC19" s="41">
        <f t="shared" si="24"/>
        <v>50.693486641176001</v>
      </c>
      <c r="BD19" s="41">
        <f t="shared" si="25"/>
        <v>1.2608866411760005</v>
      </c>
      <c r="BE19" s="38">
        <f t="shared" si="26"/>
        <v>2.4872754365880208E-2</v>
      </c>
      <c r="BF19" s="41">
        <f t="shared" si="27"/>
        <v>0.15567988022030765</v>
      </c>
      <c r="BG19" s="41">
        <f t="shared" si="28"/>
        <v>8.9198000917258131</v>
      </c>
      <c r="BH19" s="41">
        <f t="shared" si="29"/>
        <v>4.7318000917258134</v>
      </c>
      <c r="BI19" s="41">
        <f t="shared" si="30"/>
        <v>-0.20623990827418659</v>
      </c>
      <c r="BJ19" s="38">
        <f t="shared" si="31"/>
        <v>-4.3585930148406886E-2</v>
      </c>
      <c r="BK19" s="41">
        <f t="shared" si="32"/>
        <v>41.06093017310841</v>
      </c>
      <c r="BL19" s="41">
        <f t="shared" si="33"/>
        <v>2.4365301731084088</v>
      </c>
      <c r="BM19" s="38">
        <f t="shared" si="34"/>
        <v>5.9339380838092634E-2</v>
      </c>
      <c r="BN19" s="41">
        <f t="shared" si="35"/>
        <v>5043.5498503753943</v>
      </c>
      <c r="BO19" s="41">
        <f t="shared" si="36"/>
        <v>260.60985037539467</v>
      </c>
      <c r="BP19" s="38">
        <f t="shared" si="48"/>
        <v>5.1671909291428404E-2</v>
      </c>
      <c r="BQ19" s="43">
        <f t="shared" si="37"/>
        <v>5043.7169917837718</v>
      </c>
      <c r="BR19" s="41">
        <f t="shared" si="38"/>
        <v>4988.9214565399761</v>
      </c>
      <c r="BS19" s="41">
        <f t="shared" si="39"/>
        <v>263.08145653997599</v>
      </c>
      <c r="BT19" s="38">
        <f t="shared" si="40"/>
        <v>5.2733132568183162E-2</v>
      </c>
      <c r="BU19" s="41">
        <f t="shared" si="41"/>
        <v>741.44709432527588</v>
      </c>
      <c r="BV19" s="41">
        <f t="shared" si="42"/>
        <v>-513.51290567472415</v>
      </c>
      <c r="BW19" s="38">
        <f t="shared" si="43"/>
        <v>-0.69258199216766225</v>
      </c>
      <c r="BX19" s="41">
        <f t="shared" si="44"/>
        <v>18503.90968230677</v>
      </c>
      <c r="BY19" s="38">
        <f t="shared" si="45"/>
        <v>9.4484610379469786E-2</v>
      </c>
      <c r="BZ19" s="41">
        <f t="shared" si="46"/>
        <v>100640.27603623693</v>
      </c>
      <c r="CA19" s="54">
        <f t="shared" si="47"/>
        <v>9.5093646427389794E-2</v>
      </c>
      <c r="CB19" s="62">
        <f>BX26*SUM(AF19:AF26)+BX25*SUM(AF19:AF25)+BX24*SUM(AF19:AF24)+BX23*SUM(AF19:AF23)+BX22*SUM(AF19:AF22)+BX21*SUM(AF19:AF21)+BX20*SUM(AF19:AF20)+BX19*AF19</f>
        <v>1641905.0872102575</v>
      </c>
      <c r="CC19"/>
    </row>
    <row r="20" spans="1:81" ht="14.5" thickBot="1" x14ac:dyDescent="0.35">
      <c r="A20" s="184">
        <v>19</v>
      </c>
      <c r="B20" s="14" t="s">
        <v>54</v>
      </c>
      <c r="C20" s="22">
        <v>55.64</v>
      </c>
      <c r="D20" s="23">
        <f t="shared" si="0"/>
        <v>1.289101935E-5</v>
      </c>
      <c r="E20" s="22">
        <v>1.284</v>
      </c>
      <c r="F20" s="15">
        <v>0.18</v>
      </c>
      <c r="G20" s="185">
        <f t="shared" si="2"/>
        <v>0.23111999999999999</v>
      </c>
      <c r="H20" s="185">
        <f t="shared" si="3"/>
        <v>0.53400000000000003</v>
      </c>
      <c r="I20" s="186">
        <f t="shared" si="4"/>
        <v>1.3056251031940607E-6</v>
      </c>
      <c r="J20" s="187">
        <f t="shared" si="5"/>
        <v>1.8621077451074998E-11</v>
      </c>
      <c r="K20" s="188">
        <f t="shared" si="1"/>
        <v>80000000</v>
      </c>
      <c r="L20" s="183"/>
      <c r="M20" s="189">
        <f t="shared" si="6"/>
        <v>0.53400000000000003</v>
      </c>
      <c r="N20" s="190">
        <f t="shared" si="7"/>
        <v>-6.170904E-2</v>
      </c>
      <c r="O20" s="191">
        <f t="shared" si="8"/>
        <v>8.0568870937499991E-11</v>
      </c>
      <c r="R20" s="30">
        <v>55.64</v>
      </c>
      <c r="S20" s="23">
        <v>7.1024900000000003E-6</v>
      </c>
      <c r="T20" s="31">
        <f t="shared" si="9"/>
        <v>1.0653735E-5</v>
      </c>
      <c r="U20" s="31">
        <f t="shared" si="10"/>
        <v>1.289101935E-5</v>
      </c>
      <c r="V20" s="192">
        <f t="shared" si="11"/>
        <v>2.3327830392455589</v>
      </c>
      <c r="Z20" s="76">
        <v>13</v>
      </c>
      <c r="AA20" s="77">
        <v>12</v>
      </c>
      <c r="AB20" s="101" t="s">
        <v>54</v>
      </c>
      <c r="AC20" s="21">
        <v>2.7229999999999999</v>
      </c>
      <c r="AD20" s="37">
        <v>3.125</v>
      </c>
      <c r="AE20" s="21">
        <v>38.948</v>
      </c>
      <c r="AF20" s="45">
        <v>3.7090000000000001</v>
      </c>
      <c r="AG20" s="48">
        <v>5.3373900000000001</v>
      </c>
      <c r="AH20" s="39">
        <v>0</v>
      </c>
      <c r="AI20" s="49">
        <v>0.27355400000000002</v>
      </c>
      <c r="AJ20" s="48">
        <f t="shared" si="14"/>
        <v>5.3373900000000001</v>
      </c>
      <c r="AK20" s="39">
        <v>6.84696E-3</v>
      </c>
      <c r="AL20" s="39">
        <v>1.0397400000000001</v>
      </c>
      <c r="AM20" s="39">
        <f t="shared" si="15"/>
        <v>11</v>
      </c>
      <c r="AN20" s="39">
        <v>54.240699999999997</v>
      </c>
      <c r="AO20" s="39">
        <f t="shared" si="16"/>
        <v>0.27355400000000002</v>
      </c>
      <c r="AP20" s="39">
        <v>3.03776</v>
      </c>
      <c r="AQ20" s="41">
        <v>5092.5600000000004</v>
      </c>
      <c r="AR20" s="39">
        <v>33.078699999999998</v>
      </c>
      <c r="AS20" s="39">
        <v>5035.2700000000004</v>
      </c>
      <c r="AT20" s="215">
        <f t="shared" si="12"/>
        <v>821.053</v>
      </c>
      <c r="AU20" s="53">
        <f t="shared" si="17"/>
        <v>40.305101074971688</v>
      </c>
      <c r="AV20" s="41">
        <f t="shared" si="18"/>
        <v>3.7090000000000001</v>
      </c>
      <c r="AW20" s="40">
        <f t="shared" si="13"/>
        <v>2.7229999999999999</v>
      </c>
      <c r="AX20" s="42">
        <f t="shared" si="19"/>
        <v>1.3684631833200762</v>
      </c>
      <c r="AY20" s="42">
        <f t="shared" si="20"/>
        <v>55.156046921093179</v>
      </c>
      <c r="AZ20" s="37">
        <f t="shared" si="21"/>
        <v>11</v>
      </c>
      <c r="BA20" s="41">
        <f t="shared" si="22"/>
        <v>0.27355400000000002</v>
      </c>
      <c r="BB20" s="41">
        <f t="shared" si="23"/>
        <v>3.0090940000000002</v>
      </c>
      <c r="BC20" s="41">
        <f t="shared" si="24"/>
        <v>55.731894734188508</v>
      </c>
      <c r="BD20" s="41">
        <f t="shared" si="25"/>
        <v>1.491194734188511</v>
      </c>
      <c r="BE20" s="38">
        <f t="shared" si="26"/>
        <v>2.6756577024712989E-2</v>
      </c>
      <c r="BF20" s="41">
        <f t="shared" si="27"/>
        <v>0.14387707808901581</v>
      </c>
      <c r="BG20" s="41">
        <f t="shared" si="28"/>
        <v>8.2435493431747773</v>
      </c>
      <c r="BH20" s="41">
        <f t="shared" si="29"/>
        <v>5.1185493431747773</v>
      </c>
      <c r="BI20" s="41">
        <f t="shared" si="30"/>
        <v>-0.2188406568252228</v>
      </c>
      <c r="BJ20" s="38">
        <f t="shared" si="31"/>
        <v>-4.2754429459008987E-2</v>
      </c>
      <c r="BK20" s="41">
        <f t="shared" si="32"/>
        <v>35.469832810259483</v>
      </c>
      <c r="BL20" s="41">
        <f t="shared" si="33"/>
        <v>2.3911328102594851</v>
      </c>
      <c r="BM20" s="38">
        <f t="shared" si="34"/>
        <v>6.741314014786845E-2</v>
      </c>
      <c r="BN20" s="41">
        <f t="shared" si="35"/>
        <v>5386.2449855321465</v>
      </c>
      <c r="BO20" s="41">
        <f t="shared" si="36"/>
        <v>293.68498553214613</v>
      </c>
      <c r="BP20" s="38">
        <f t="shared" si="48"/>
        <v>5.4524995859082867E-2</v>
      </c>
      <c r="BQ20" s="43">
        <f t="shared" si="37"/>
        <v>5386.3617733317706</v>
      </c>
      <c r="BR20" s="41">
        <f t="shared" si="38"/>
        <v>5335.6775086980433</v>
      </c>
      <c r="BS20" s="41">
        <f t="shared" si="39"/>
        <v>300.40750869804288</v>
      </c>
      <c r="BT20" s="38">
        <f t="shared" si="40"/>
        <v>5.6301661449427665E-2</v>
      </c>
      <c r="BU20" s="41">
        <f t="shared" si="41"/>
        <v>737.18293278103044</v>
      </c>
      <c r="BV20" s="41">
        <f t="shared" si="42"/>
        <v>-83.870067218969552</v>
      </c>
      <c r="BW20" s="38">
        <f t="shared" si="43"/>
        <v>-0.11377103767523325</v>
      </c>
      <c r="BX20" s="41">
        <f t="shared" si="44"/>
        <v>19790.027879761044</v>
      </c>
      <c r="BY20" s="38">
        <f t="shared" si="45"/>
        <v>0.10105178341883063</v>
      </c>
      <c r="BZ20" s="41">
        <f t="shared" si="46"/>
        <v>110202.67077453727</v>
      </c>
      <c r="CA20" s="54">
        <f t="shared" si="47"/>
        <v>0.10412902490663453</v>
      </c>
      <c r="CB20" s="62">
        <f>BX26*SUM(AF20:AF26)+BX25*SUM(AF20:AF25)+BX24*SUM(AF20:AF24)+BX23*SUM(AF20:AF23)+BX22*SUM(AF20:AF22)+BX21*SUM(AF20:AF21)+BX20*AF20</f>
        <v>1171191.4348622006</v>
      </c>
      <c r="CC20"/>
    </row>
    <row r="21" spans="1:81" x14ac:dyDescent="0.3">
      <c r="E21" s="40"/>
      <c r="F21" s="40"/>
      <c r="L21" s="170"/>
      <c r="Z21" s="76">
        <v>14</v>
      </c>
      <c r="AA21" s="77">
        <v>13</v>
      </c>
      <c r="AB21" s="101" t="s">
        <v>54</v>
      </c>
      <c r="AC21" s="21">
        <v>2.5009999999999999</v>
      </c>
      <c r="AD21" s="37">
        <v>2.319</v>
      </c>
      <c r="AE21" s="21">
        <v>42.656999999999996</v>
      </c>
      <c r="AF21" s="45">
        <v>3.7090000000000001</v>
      </c>
      <c r="AG21" s="48">
        <v>5.3786199999999997</v>
      </c>
      <c r="AH21" s="39">
        <v>0</v>
      </c>
      <c r="AI21" s="49">
        <v>0.28096199999999999</v>
      </c>
      <c r="AJ21" s="48">
        <f t="shared" si="14"/>
        <v>5.3786199999999997</v>
      </c>
      <c r="AK21" s="39">
        <v>6.9606900000000003E-3</v>
      </c>
      <c r="AL21" s="39">
        <v>1.04409</v>
      </c>
      <c r="AM21" s="39">
        <f t="shared" si="15"/>
        <v>11</v>
      </c>
      <c r="AN21" s="39">
        <v>59.042499999999997</v>
      </c>
      <c r="AO21" s="39">
        <f t="shared" si="16"/>
        <v>0.28096199999999999</v>
      </c>
      <c r="AP21" s="39">
        <v>3.1143800000000001</v>
      </c>
      <c r="AQ21" s="41">
        <v>5566.53</v>
      </c>
      <c r="AR21" s="39">
        <v>36.647799999999997</v>
      </c>
      <c r="AS21" s="39">
        <v>5507.55</v>
      </c>
      <c r="AT21" s="215">
        <f t="shared" si="12"/>
        <v>479.053</v>
      </c>
      <c r="AU21" s="53">
        <f t="shared" si="17"/>
        <v>44.014101074971684</v>
      </c>
      <c r="AV21" s="41">
        <f t="shared" si="18"/>
        <v>3.7090000000000001</v>
      </c>
      <c r="AW21" s="40">
        <f t="shared" si="13"/>
        <v>2.5009999999999999</v>
      </c>
      <c r="AX21" s="42">
        <f t="shared" si="19"/>
        <v>1.3684631833200762</v>
      </c>
      <c r="AY21" s="42">
        <f t="shared" si="20"/>
        <v>60.231676868027343</v>
      </c>
      <c r="AZ21" s="37">
        <f t="shared" si="21"/>
        <v>11</v>
      </c>
      <c r="BA21" s="41">
        <f t="shared" si="22"/>
        <v>0.28096199999999999</v>
      </c>
      <c r="BB21" s="41">
        <f t="shared" si="23"/>
        <v>3.0905819999999999</v>
      </c>
      <c r="BC21" s="41">
        <f t="shared" si="24"/>
        <v>60.748776048848789</v>
      </c>
      <c r="BD21" s="41">
        <f t="shared" si="25"/>
        <v>1.7062760488487925</v>
      </c>
      <c r="BE21" s="38">
        <f t="shared" si="26"/>
        <v>2.808741442752289E-2</v>
      </c>
      <c r="BF21" s="41">
        <f t="shared" si="27"/>
        <v>0.13056948806294921</v>
      </c>
      <c r="BG21" s="41">
        <f t="shared" si="28"/>
        <v>7.481080599190773</v>
      </c>
      <c r="BH21" s="41">
        <f t="shared" si="29"/>
        <v>5.162080599190773</v>
      </c>
      <c r="BI21" s="41">
        <f t="shared" si="30"/>
        <v>-0.21653940080922673</v>
      </c>
      <c r="BJ21" s="38">
        <f t="shared" si="31"/>
        <v>-4.1948085979744726E-2</v>
      </c>
      <c r="BK21" s="41">
        <f t="shared" si="32"/>
        <v>39.350217928674688</v>
      </c>
      <c r="BL21" s="41">
        <f t="shared" si="33"/>
        <v>2.7024179286746914</v>
      </c>
      <c r="BM21" s="38">
        <f t="shared" si="34"/>
        <v>6.8676060030290878E-2</v>
      </c>
      <c r="BN21" s="41">
        <f t="shared" si="35"/>
        <v>5902.4563710134989</v>
      </c>
      <c r="BO21" s="41">
        <f t="shared" si="36"/>
        <v>335.92637101349919</v>
      </c>
      <c r="BP21" s="38">
        <f t="shared" si="48"/>
        <v>5.6912978241263637E-2</v>
      </c>
      <c r="BQ21" s="43">
        <f t="shared" si="37"/>
        <v>5902.5875386451389</v>
      </c>
      <c r="BR21" s="41">
        <f t="shared" si="38"/>
        <v>5857.3374696862948</v>
      </c>
      <c r="BS21" s="41">
        <f t="shared" si="39"/>
        <v>349.78746968629457</v>
      </c>
      <c r="BT21" s="38">
        <f t="shared" si="40"/>
        <v>5.9717827681359185E-2</v>
      </c>
      <c r="BU21" s="41">
        <f t="shared" si="41"/>
        <v>729.47749627923974</v>
      </c>
      <c r="BV21" s="41">
        <f t="shared" si="42"/>
        <v>250.42449627923975</v>
      </c>
      <c r="BW21" s="38">
        <f t="shared" si="43"/>
        <v>0.34329297004575271</v>
      </c>
      <c r="BX21" s="41">
        <f t="shared" si="44"/>
        <v>21724.864675066467</v>
      </c>
      <c r="BY21" s="38">
        <f t="shared" si="45"/>
        <v>0.11093144149601514</v>
      </c>
      <c r="BZ21" s="41">
        <f t="shared" si="46"/>
        <v>119085.9618029398</v>
      </c>
      <c r="CA21" s="54">
        <f t="shared" si="47"/>
        <v>0.11252272740266457</v>
      </c>
      <c r="CB21" s="62">
        <f>BX26*SUM(AF21:AF26)+BX25*SUM(AF21:AF25)+BX24*SUM(AF21:AF24)+BX23*SUM(AF21:AF23)+BX22*SUM(AF21:AF22)+BX21*AF21</f>
        <v>769108.78352581977</v>
      </c>
      <c r="CC21"/>
    </row>
    <row r="22" spans="1:81" x14ac:dyDescent="0.3">
      <c r="E22" s="40"/>
      <c r="F22" s="40"/>
      <c r="L22" s="170"/>
      <c r="Z22" s="76">
        <v>15</v>
      </c>
      <c r="AA22" s="77">
        <v>14</v>
      </c>
      <c r="AB22" s="101" t="s">
        <v>54</v>
      </c>
      <c r="AC22" s="21">
        <v>2.278</v>
      </c>
      <c r="AD22" s="37">
        <v>1.526</v>
      </c>
      <c r="AE22" s="21">
        <v>46.366999999999997</v>
      </c>
      <c r="AF22" s="45">
        <v>3.4</v>
      </c>
      <c r="AG22" s="48">
        <v>5.4600799999999996</v>
      </c>
      <c r="AH22" s="39">
        <v>0</v>
      </c>
      <c r="AI22" s="49">
        <v>0.29417700000000002</v>
      </c>
      <c r="AJ22" s="48">
        <f t="shared" si="14"/>
        <v>5.4600799999999996</v>
      </c>
      <c r="AK22" s="39">
        <v>7.2172199999999999E-3</v>
      </c>
      <c r="AL22" s="39">
        <v>1.05192</v>
      </c>
      <c r="AM22" s="39">
        <f t="shared" si="15"/>
        <v>11</v>
      </c>
      <c r="AN22" s="39">
        <v>63.847499999999997</v>
      </c>
      <c r="AO22" s="39">
        <f t="shared" si="16"/>
        <v>0.29417700000000002</v>
      </c>
      <c r="AP22" s="39">
        <v>3.2558799999999999</v>
      </c>
      <c r="AQ22" s="41">
        <v>5977.1</v>
      </c>
      <c r="AR22" s="39">
        <v>40.567900000000002</v>
      </c>
      <c r="AS22" s="39">
        <v>5916.07</v>
      </c>
      <c r="AT22" s="215">
        <f t="shared" si="12"/>
        <v>228.59899999999999</v>
      </c>
      <c r="AU22" s="53">
        <f t="shared" si="17"/>
        <v>47.724101074971685</v>
      </c>
      <c r="AV22" s="41">
        <f t="shared" si="18"/>
        <v>3.4</v>
      </c>
      <c r="AW22" s="40">
        <f t="shared" si="13"/>
        <v>2.278</v>
      </c>
      <c r="AX22" s="42">
        <f t="shared" si="19"/>
        <v>1.3684631833200762</v>
      </c>
      <c r="AY22" s="42">
        <f t="shared" si="20"/>
        <v>65.308675278144818</v>
      </c>
      <c r="AZ22" s="37">
        <f t="shared" si="21"/>
        <v>11</v>
      </c>
      <c r="BA22" s="41">
        <f t="shared" si="22"/>
        <v>0.29417700000000002</v>
      </c>
      <c r="BB22" s="41">
        <f t="shared" si="23"/>
        <v>3.2359470000000004</v>
      </c>
      <c r="BC22" s="41">
        <f t="shared" si="24"/>
        <v>65.768560768599556</v>
      </c>
      <c r="BD22" s="41">
        <f t="shared" si="25"/>
        <v>1.9210607685995598</v>
      </c>
      <c r="BE22" s="38">
        <f t="shared" si="26"/>
        <v>2.9209408661968899E-2</v>
      </c>
      <c r="BF22" s="41">
        <f t="shared" si="27"/>
        <v>0.11832705999535954</v>
      </c>
      <c r="BG22" s="41">
        <f t="shared" si="28"/>
        <v>6.779641139925384</v>
      </c>
      <c r="BH22" s="41">
        <f t="shared" si="29"/>
        <v>5.2536411399253842</v>
      </c>
      <c r="BI22" s="41">
        <f t="shared" si="30"/>
        <v>-0.20643886007461543</v>
      </c>
      <c r="BJ22" s="38">
        <f t="shared" si="31"/>
        <v>-3.9294434959740589E-2</v>
      </c>
      <c r="BK22" s="41">
        <f t="shared" si="32"/>
        <v>43.557849808598881</v>
      </c>
      <c r="BL22" s="41">
        <f t="shared" si="33"/>
        <v>2.9899498085988796</v>
      </c>
      <c r="BM22" s="38">
        <f t="shared" si="34"/>
        <v>6.8643191106477097E-2</v>
      </c>
      <c r="BN22" s="41">
        <f t="shared" si="35"/>
        <v>6348.6180787978383</v>
      </c>
      <c r="BO22" s="41">
        <f t="shared" si="36"/>
        <v>371.51807879783792</v>
      </c>
      <c r="BP22" s="38">
        <f t="shared" si="48"/>
        <v>5.8519519395658443E-2</v>
      </c>
      <c r="BQ22" s="43">
        <f t="shared" si="37"/>
        <v>6348.767502178569</v>
      </c>
      <c r="BR22" s="41">
        <f t="shared" si="38"/>
        <v>6309.3675333361489</v>
      </c>
      <c r="BS22" s="41">
        <f t="shared" si="39"/>
        <v>393.29753333614917</v>
      </c>
      <c r="BT22" s="38">
        <f t="shared" si="40"/>
        <v>6.2335492623963325E-2</v>
      </c>
      <c r="BU22" s="41">
        <f t="shared" si="41"/>
        <v>706.20827381334232</v>
      </c>
      <c r="BV22" s="41">
        <f t="shared" si="42"/>
        <v>477.60927381334233</v>
      </c>
      <c r="BW22" s="38">
        <f t="shared" si="43"/>
        <v>0.67630087542641715</v>
      </c>
      <c r="BX22" s="41">
        <f t="shared" si="44"/>
        <v>21451.849613342907</v>
      </c>
      <c r="BY22" s="38">
        <f t="shared" si="45"/>
        <v>0.10953737277337416</v>
      </c>
      <c r="BZ22" s="41">
        <f t="shared" si="46"/>
        <v>114590.72713412737</v>
      </c>
      <c r="CA22" s="54">
        <f t="shared" si="47"/>
        <v>0.10827524048152101</v>
      </c>
      <c r="CB22" s="62">
        <f>BX26*SUM(AF22:AF26)+BX25*SUM(AF22:AF25)+BX24*SUM(AF22:AF24)+BX23*SUM(AF22:AF23)+BX22*AF22</f>
        <v>440427.34559547278</v>
      </c>
      <c r="CC22"/>
    </row>
    <row r="23" spans="1:81" ht="14.5" thickBot="1" x14ac:dyDescent="0.35">
      <c r="E23" s="40"/>
      <c r="F23" s="40"/>
      <c r="L23" s="170"/>
      <c r="Z23" s="76">
        <v>16</v>
      </c>
      <c r="AA23" s="77">
        <v>15</v>
      </c>
      <c r="AB23" s="101" t="s">
        <v>54</v>
      </c>
      <c r="AC23" s="21">
        <v>2.0960000000000001</v>
      </c>
      <c r="AD23" s="37">
        <v>0.86299999999999999</v>
      </c>
      <c r="AE23" s="21">
        <v>49.457999999999998</v>
      </c>
      <c r="AF23" s="45">
        <v>2.4740000000000002</v>
      </c>
      <c r="AG23" s="48">
        <v>5.4665299999999997</v>
      </c>
      <c r="AH23" s="39">
        <v>0</v>
      </c>
      <c r="AI23" s="49">
        <v>0.31930199999999997</v>
      </c>
      <c r="AJ23" s="48">
        <f t="shared" si="14"/>
        <v>5.4665299999999997</v>
      </c>
      <c r="AK23" s="39">
        <v>7.24904E-3</v>
      </c>
      <c r="AL23" s="39">
        <v>1.0526899999999999</v>
      </c>
      <c r="AM23" s="39">
        <f t="shared" si="15"/>
        <v>11</v>
      </c>
      <c r="AN23" s="39">
        <v>67.848500000000001</v>
      </c>
      <c r="AO23" s="39">
        <f t="shared" si="16"/>
        <v>0.31930199999999997</v>
      </c>
      <c r="AP23" s="39">
        <v>3.5295299999999998</v>
      </c>
      <c r="AQ23" s="41">
        <v>6206.46</v>
      </c>
      <c r="AR23" s="39">
        <v>42.316899999999997</v>
      </c>
      <c r="AS23" s="39">
        <v>6146.15</v>
      </c>
      <c r="AT23" s="215">
        <f t="shared" si="12"/>
        <v>88.604100000000003</v>
      </c>
      <c r="AU23" s="53">
        <f t="shared" si="17"/>
        <v>50.815101074971686</v>
      </c>
      <c r="AV23" s="41">
        <f t="shared" si="18"/>
        <v>2.4740000000000002</v>
      </c>
      <c r="AW23" s="40">
        <f t="shared" si="13"/>
        <v>2.0960000000000001</v>
      </c>
      <c r="AX23" s="42">
        <f t="shared" si="19"/>
        <v>1.3684631833200762</v>
      </c>
      <c r="AY23" s="42">
        <f t="shared" si="20"/>
        <v>69.538594977787184</v>
      </c>
      <c r="AZ23" s="37">
        <f t="shared" si="21"/>
        <v>11</v>
      </c>
      <c r="BA23" s="41">
        <f t="shared" si="22"/>
        <v>0.31930199999999997</v>
      </c>
      <c r="BB23" s="41">
        <f t="shared" si="23"/>
        <v>3.5123219999999997</v>
      </c>
      <c r="BC23" s="41">
        <f t="shared" si="24"/>
        <v>69.940556998900234</v>
      </c>
      <c r="BD23" s="41">
        <f t="shared" si="25"/>
        <v>2.0920569989002331</v>
      </c>
      <c r="BE23" s="38">
        <f t="shared" si="26"/>
        <v>2.9911929339269193E-2</v>
      </c>
      <c r="BF23" s="41">
        <f t="shared" si="27"/>
        <v>0.10726330703150322</v>
      </c>
      <c r="BG23" s="41">
        <f t="shared" si="28"/>
        <v>6.1457347895210619</v>
      </c>
      <c r="BH23" s="41">
        <f t="shared" si="29"/>
        <v>5.2827347895210615</v>
      </c>
      <c r="BI23" s="41">
        <f t="shared" si="30"/>
        <v>-0.18379521047893821</v>
      </c>
      <c r="BJ23" s="38">
        <f t="shared" si="31"/>
        <v>-3.4791678515362551E-2</v>
      </c>
      <c r="BK23" s="41">
        <f t="shared" si="32"/>
        <v>45.523541526170455</v>
      </c>
      <c r="BL23" s="41">
        <f t="shared" si="33"/>
        <v>3.2066415261704577</v>
      </c>
      <c r="BM23" s="38">
        <f t="shared" si="34"/>
        <v>7.0439192968478337E-2</v>
      </c>
      <c r="BN23" s="41">
        <f t="shared" si="35"/>
        <v>6610.8308036904709</v>
      </c>
      <c r="BO23" s="41">
        <f t="shared" si="36"/>
        <v>404.37080369047089</v>
      </c>
      <c r="BP23" s="38">
        <f t="shared" si="48"/>
        <v>6.1167925136539937E-2</v>
      </c>
      <c r="BQ23" s="43">
        <f t="shared" si="37"/>
        <v>6610.9875440705437</v>
      </c>
      <c r="BR23" s="41">
        <f t="shared" si="38"/>
        <v>6577.7107172897195</v>
      </c>
      <c r="BS23" s="41">
        <f t="shared" si="39"/>
        <v>431.56071728971983</v>
      </c>
      <c r="BT23" s="38">
        <f t="shared" si="40"/>
        <v>6.5609561721124171E-2</v>
      </c>
      <c r="BU23" s="41">
        <f t="shared" si="41"/>
        <v>662.47869966350413</v>
      </c>
      <c r="BV23" s="41">
        <f t="shared" si="42"/>
        <v>573.87459966350411</v>
      </c>
      <c r="BW23" s="38">
        <f t="shared" si="43"/>
        <v>0.86625366212528021</v>
      </c>
      <c r="BX23" s="41">
        <f t="shared" si="44"/>
        <v>16273.256314574768</v>
      </c>
      <c r="BY23" s="38">
        <f t="shared" si="45"/>
        <v>8.3094454571298118E-2</v>
      </c>
      <c r="BZ23" s="41">
        <f t="shared" si="46"/>
        <v>83284.543234373108</v>
      </c>
      <c r="CA23" s="54">
        <f t="shared" si="47"/>
        <v>7.8694447383515623E-2</v>
      </c>
      <c r="CB23" s="62">
        <f>BX26*SUM(AF23:AF26)+BX25*SUM(AF23:AF25)+BX24*SUM(AF23:AF24)+BX23*AF23</f>
        <v>212993.18261575128</v>
      </c>
      <c r="CC23"/>
    </row>
    <row r="24" spans="1:81" ht="39" x14ac:dyDescent="0.3">
      <c r="A24" s="8" t="s">
        <v>55</v>
      </c>
      <c r="B24" s="9" t="s">
        <v>46</v>
      </c>
      <c r="C24" s="10" t="s">
        <v>45</v>
      </c>
      <c r="D24" s="10" t="s">
        <v>99</v>
      </c>
      <c r="E24" s="11" t="s">
        <v>56</v>
      </c>
      <c r="F24" s="12" t="s">
        <v>57</v>
      </c>
      <c r="G24" s="10" t="s">
        <v>43</v>
      </c>
      <c r="H24" s="10" t="s">
        <v>42</v>
      </c>
      <c r="I24" s="10" t="s">
        <v>76</v>
      </c>
      <c r="J24" s="10" t="s">
        <v>40</v>
      </c>
      <c r="K24" s="13" t="s">
        <v>381</v>
      </c>
      <c r="L24" s="6" t="s">
        <v>203</v>
      </c>
      <c r="M24" s="16" t="s">
        <v>59</v>
      </c>
      <c r="N24" s="9" t="s">
        <v>60</v>
      </c>
      <c r="O24" s="17" t="s">
        <v>61</v>
      </c>
      <c r="R24" s="18"/>
      <c r="S24" s="18"/>
      <c r="T24" s="18"/>
      <c r="U24" s="18"/>
      <c r="V24" s="18"/>
      <c r="W24" s="18"/>
      <c r="X24" s="18"/>
      <c r="Y24" s="18"/>
      <c r="Z24" s="76">
        <v>17</v>
      </c>
      <c r="AA24" s="77">
        <v>16</v>
      </c>
      <c r="AB24" s="101" t="s">
        <v>54</v>
      </c>
      <c r="AC24" s="21">
        <v>1.887</v>
      </c>
      <c r="AD24" s="37">
        <v>0.37</v>
      </c>
      <c r="AE24" s="21">
        <v>51.930999999999997</v>
      </c>
      <c r="AF24" s="45">
        <v>2.573</v>
      </c>
      <c r="AG24" s="48">
        <v>5.4210000000000003</v>
      </c>
      <c r="AH24" s="39">
        <v>0</v>
      </c>
      <c r="AI24" s="49">
        <v>0.35819299999999998</v>
      </c>
      <c r="AJ24" s="48">
        <f t="shared" si="14"/>
        <v>5.4210000000000003</v>
      </c>
      <c r="AK24" s="39">
        <v>7.1190699999999999E-3</v>
      </c>
      <c r="AL24" s="39">
        <v>1.04817</v>
      </c>
      <c r="AM24" s="39">
        <f t="shared" si="15"/>
        <v>11</v>
      </c>
      <c r="AN24" s="39">
        <v>71.025700000000001</v>
      </c>
      <c r="AO24" s="39">
        <f t="shared" si="16"/>
        <v>0.35819299999999998</v>
      </c>
      <c r="AP24" s="39">
        <v>3.9557699999999998</v>
      </c>
      <c r="AQ24" s="41">
        <v>6112.45</v>
      </c>
      <c r="AR24" s="39">
        <v>41.105600000000003</v>
      </c>
      <c r="AS24" s="39">
        <v>6056.6</v>
      </c>
      <c r="AT24" s="215">
        <f t="shared" si="12"/>
        <v>24.621300000000002</v>
      </c>
      <c r="AU24" s="53">
        <f t="shared" si="17"/>
        <v>53.288101074971685</v>
      </c>
      <c r="AV24" s="41">
        <f t="shared" si="18"/>
        <v>2.573</v>
      </c>
      <c r="AW24" s="40">
        <f t="shared" si="13"/>
        <v>1.887</v>
      </c>
      <c r="AX24" s="42">
        <f t="shared" si="19"/>
        <v>1.3684631833200762</v>
      </c>
      <c r="AY24" s="42">
        <f t="shared" si="20"/>
        <v>72.922804430137731</v>
      </c>
      <c r="AZ24" s="37">
        <f t="shared" si="21"/>
        <v>11</v>
      </c>
      <c r="BA24" s="41">
        <f t="shared" si="22"/>
        <v>0.35819299999999998</v>
      </c>
      <c r="BB24" s="41">
        <f t="shared" si="23"/>
        <v>3.9401229999999998</v>
      </c>
      <c r="BC24" s="41">
        <f t="shared" si="24"/>
        <v>73.263751400069893</v>
      </c>
      <c r="BD24" s="41">
        <f t="shared" si="25"/>
        <v>2.2380514000698923</v>
      </c>
      <c r="BE24" s="38">
        <f t="shared" si="26"/>
        <v>3.0547867906034597E-2</v>
      </c>
      <c r="BF24" s="41">
        <f t="shared" si="27"/>
        <v>9.6512242281465307E-2</v>
      </c>
      <c r="BG24" s="41">
        <f t="shared" si="28"/>
        <v>5.5297441540720174</v>
      </c>
      <c r="BH24" s="41">
        <f t="shared" si="29"/>
        <v>5.1597441540720173</v>
      </c>
      <c r="BI24" s="41">
        <f t="shared" si="30"/>
        <v>-0.26125584592798301</v>
      </c>
      <c r="BJ24" s="38">
        <f t="shared" si="31"/>
        <v>-5.0633488430197181E-2</v>
      </c>
      <c r="BK24" s="41">
        <f t="shared" si="32"/>
        <v>44.165134922630926</v>
      </c>
      <c r="BL24" s="41">
        <f t="shared" si="33"/>
        <v>3.0595349226309239</v>
      </c>
      <c r="BM24" s="38">
        <f t="shared" si="34"/>
        <v>6.9274891336586153E-2</v>
      </c>
      <c r="BN24" s="41">
        <f t="shared" si="35"/>
        <v>6502.6147336455542</v>
      </c>
      <c r="BO24" s="41">
        <f t="shared" si="36"/>
        <v>390.16473364555441</v>
      </c>
      <c r="BP24" s="38">
        <f t="shared" si="48"/>
        <v>6.000120714929958E-2</v>
      </c>
      <c r="BQ24" s="43">
        <f t="shared" si="37"/>
        <v>6502.7647145938608</v>
      </c>
      <c r="BR24" s="41">
        <f t="shared" si="38"/>
        <v>6476.6094263357136</v>
      </c>
      <c r="BS24" s="41">
        <f t="shared" si="39"/>
        <v>420.00942633571321</v>
      </c>
      <c r="BT24" s="38">
        <f t="shared" si="40"/>
        <v>6.4850201500161006E-2</v>
      </c>
      <c r="BU24" s="41">
        <f t="shared" si="41"/>
        <v>582.64849786672244</v>
      </c>
      <c r="BV24" s="41">
        <f t="shared" si="42"/>
        <v>558.02719786672242</v>
      </c>
      <c r="BW24" s="38">
        <f t="shared" si="43"/>
        <v>0.95774244662065189</v>
      </c>
      <c r="BX24" s="41">
        <f t="shared" si="44"/>
        <v>16664.316053961789</v>
      </c>
      <c r="BY24" s="38">
        <f t="shared" si="45"/>
        <v>8.5091282687380532E-2</v>
      </c>
      <c r="BZ24" s="41">
        <f t="shared" si="46"/>
        <v>79887.101053077495</v>
      </c>
      <c r="CA24" s="54">
        <f t="shared" si="47"/>
        <v>7.5484249853559546E-2</v>
      </c>
      <c r="CB24" s="62">
        <f>BX26*SUM(AF24:AF26)+BX25*SUM(AF24:AF25)+BX24*AF24</f>
        <v>100573.25879097602</v>
      </c>
      <c r="CC24"/>
    </row>
    <row r="25" spans="1:81" x14ac:dyDescent="0.3">
      <c r="A25" s="169"/>
      <c r="C25" s="170" t="s">
        <v>38</v>
      </c>
      <c r="D25" s="170" t="s">
        <v>39</v>
      </c>
      <c r="E25" s="170" t="s">
        <v>38</v>
      </c>
      <c r="F25" s="170" t="s">
        <v>58</v>
      </c>
      <c r="G25" s="170" t="s">
        <v>38</v>
      </c>
      <c r="H25" s="170" t="s">
        <v>38</v>
      </c>
      <c r="I25" s="170" t="s">
        <v>37</v>
      </c>
      <c r="J25" s="170" t="s">
        <v>36</v>
      </c>
      <c r="K25" s="171" t="s">
        <v>62</v>
      </c>
      <c r="L25" s="172">
        <v>200</v>
      </c>
      <c r="M25" s="173" t="s">
        <v>38</v>
      </c>
      <c r="N25" s="170" t="s">
        <v>38</v>
      </c>
      <c r="O25" s="171" t="s">
        <v>38</v>
      </c>
      <c r="R25" s="170"/>
      <c r="S25" s="170"/>
      <c r="T25" s="170"/>
      <c r="U25" s="170"/>
      <c r="V25" s="170"/>
      <c r="W25" s="170"/>
      <c r="X25" s="170"/>
      <c r="Y25" s="193"/>
      <c r="Z25" s="76">
        <v>18</v>
      </c>
      <c r="AA25" s="77">
        <v>17</v>
      </c>
      <c r="AB25" s="101" t="s">
        <v>54</v>
      </c>
      <c r="AC25" s="21">
        <v>1.284</v>
      </c>
      <c r="AD25" s="37">
        <v>0.106</v>
      </c>
      <c r="AE25" s="21">
        <v>54.404000000000003</v>
      </c>
      <c r="AF25" s="45">
        <v>1.855</v>
      </c>
      <c r="AG25" s="48">
        <v>5.1493599999999997</v>
      </c>
      <c r="AH25" s="39">
        <v>0</v>
      </c>
      <c r="AI25" s="49">
        <v>0.386521</v>
      </c>
      <c r="AJ25" s="48">
        <f t="shared" si="14"/>
        <v>5.1493599999999997</v>
      </c>
      <c r="AK25" s="39">
        <v>6.4297699999999996E-3</v>
      </c>
      <c r="AL25" s="39">
        <v>1.02294</v>
      </c>
      <c r="AM25" s="39">
        <f t="shared" si="15"/>
        <v>11</v>
      </c>
      <c r="AN25" s="39">
        <v>74.236000000000004</v>
      </c>
      <c r="AO25" s="39">
        <f t="shared" si="16"/>
        <v>0.386521</v>
      </c>
      <c r="AP25" s="39">
        <v>4.2652200000000002</v>
      </c>
      <c r="AQ25" s="41">
        <v>4431.5200000000004</v>
      </c>
      <c r="AR25" s="39">
        <v>27.5932</v>
      </c>
      <c r="AS25" s="39">
        <v>4394.33</v>
      </c>
      <c r="AT25" s="215">
        <f t="shared" si="12"/>
        <v>1.21929</v>
      </c>
      <c r="AU25" s="53">
        <f t="shared" si="17"/>
        <v>55.761101074971691</v>
      </c>
      <c r="AV25" s="41">
        <f t="shared" si="18"/>
        <v>1.855</v>
      </c>
      <c r="AW25" s="41">
        <f t="shared" si="13"/>
        <v>1.284</v>
      </c>
      <c r="AX25" s="42">
        <f t="shared" si="19"/>
        <v>1.3684631833200762</v>
      </c>
      <c r="AY25" s="42">
        <f t="shared" si="20"/>
        <v>76.307013882488278</v>
      </c>
      <c r="AZ25" s="37">
        <f t="shared" si="21"/>
        <v>11</v>
      </c>
      <c r="BA25" s="41">
        <f t="shared" si="22"/>
        <v>0.386521</v>
      </c>
      <c r="BB25" s="41">
        <f t="shared" si="23"/>
        <v>4.2517310000000004</v>
      </c>
      <c r="BC25" s="41">
        <f t="shared" si="24"/>
        <v>76.604826885507805</v>
      </c>
      <c r="BD25" s="41">
        <f t="shared" si="25"/>
        <v>2.3688268855078007</v>
      </c>
      <c r="BE25" s="38">
        <f t="shared" si="26"/>
        <v>3.0922684402749277E-2</v>
      </c>
      <c r="BF25" s="41">
        <f t="shared" si="27"/>
        <v>8.820629029515642E-2</v>
      </c>
      <c r="BG25" s="41">
        <f t="shared" si="28"/>
        <v>5.0538481604182151</v>
      </c>
      <c r="BH25" s="41">
        <f t="shared" si="29"/>
        <v>4.9478481604182152</v>
      </c>
      <c r="BI25" s="41">
        <f t="shared" si="30"/>
        <v>-0.20151183958178454</v>
      </c>
      <c r="BJ25" s="38">
        <f t="shared" si="31"/>
        <v>-4.0727167255017745E-2</v>
      </c>
      <c r="BK25" s="41">
        <f t="shared" si="32"/>
        <v>29.67418676397612</v>
      </c>
      <c r="BL25" s="41">
        <f t="shared" si="33"/>
        <v>2.0809867639761208</v>
      </c>
      <c r="BM25" s="38">
        <f t="shared" si="34"/>
        <v>7.0127844800869074E-2</v>
      </c>
      <c r="BN25" s="41">
        <f t="shared" si="35"/>
        <v>4720.995091323909</v>
      </c>
      <c r="BO25" s="41">
        <f t="shared" si="36"/>
        <v>289.4750913239086</v>
      </c>
      <c r="BP25" s="38">
        <f t="shared" si="48"/>
        <v>6.1316541475736015E-2</v>
      </c>
      <c r="BQ25" s="43">
        <f t="shared" si="37"/>
        <v>4721.0883501227281</v>
      </c>
      <c r="BR25" s="41">
        <f t="shared" si="38"/>
        <v>4705.2555566265701</v>
      </c>
      <c r="BS25" s="41">
        <f t="shared" si="39"/>
        <v>310.92555662657014</v>
      </c>
      <c r="BT25" s="38">
        <f t="shared" si="40"/>
        <v>6.6080482321238254E-2</v>
      </c>
      <c r="BU25" s="41">
        <f t="shared" si="41"/>
        <v>386.32286561803704</v>
      </c>
      <c r="BV25" s="41">
        <f t="shared" si="42"/>
        <v>385.10357561803704</v>
      </c>
      <c r="BW25" s="38">
        <f t="shared" si="43"/>
        <v>0.99684385753856586</v>
      </c>
      <c r="BX25" s="41">
        <f t="shared" si="44"/>
        <v>8728.2490575422871</v>
      </c>
      <c r="BY25" s="38">
        <f t="shared" si="45"/>
        <v>4.4568160224290977E-2</v>
      </c>
      <c r="BZ25" s="41">
        <f t="shared" si="46"/>
        <v>39960.017402791629</v>
      </c>
      <c r="CA25" s="54">
        <f t="shared" si="47"/>
        <v>3.7757684257197263E-2</v>
      </c>
      <c r="CB25" s="62">
        <f>BX26*SUM(AF25:AF26)+BX25*AF25</f>
        <v>25525.808888560146</v>
      </c>
      <c r="CC25"/>
    </row>
    <row r="26" spans="1:81" ht="14.5" thickBot="1" x14ac:dyDescent="0.35">
      <c r="A26" s="169">
        <v>2</v>
      </c>
      <c r="B26" s="19" t="s">
        <v>47</v>
      </c>
      <c r="C26" s="175">
        <v>1.236</v>
      </c>
      <c r="D26" s="20">
        <f t="shared" ref="D26:D43" si="49">U3</f>
        <v>16203.321750000001</v>
      </c>
      <c r="E26" s="21">
        <v>3.2050000000000001</v>
      </c>
      <c r="F26" s="7">
        <v>1</v>
      </c>
      <c r="G26" s="175">
        <f>E26*F26</f>
        <v>3.2050000000000001</v>
      </c>
      <c r="H26" s="175">
        <f>0.6*0.89</f>
        <v>0.53400000000000003</v>
      </c>
      <c r="I26" s="176">
        <f>(((-N26)-SQRT(N26^2-(4*M26*O26)))/2/M26)*1000</f>
        <v>48.825043870326169</v>
      </c>
      <c r="J26" s="177">
        <f>D26*10^3*(G26/2)/K26</f>
        <v>0.12982911552187501</v>
      </c>
      <c r="K26" s="178">
        <f>$L$25*10^6</f>
        <v>200000000</v>
      </c>
      <c r="M26" s="179">
        <f>H26</f>
        <v>0.53400000000000003</v>
      </c>
      <c r="N26" s="5">
        <f>-H26*G26/2</f>
        <v>-0.85573500000000002</v>
      </c>
      <c r="O26" s="180">
        <f>D26*1000/2/K26</f>
        <v>4.0508304375000005E-2</v>
      </c>
      <c r="R26" s="194"/>
      <c r="S26" s="195"/>
      <c r="T26" s="170"/>
      <c r="U26" s="194"/>
      <c r="V26" s="195"/>
      <c r="W26" s="196"/>
      <c r="X26" s="193"/>
      <c r="Z26" s="78">
        <v>19</v>
      </c>
      <c r="AA26" s="79">
        <v>18</v>
      </c>
      <c r="AB26" s="102" t="s">
        <v>54</v>
      </c>
      <c r="AC26" s="22">
        <v>1.284</v>
      </c>
      <c r="AD26" s="46">
        <v>0.106</v>
      </c>
      <c r="AE26" s="22">
        <v>55.64</v>
      </c>
      <c r="AF26" s="47">
        <v>0.61799999999999999</v>
      </c>
      <c r="AG26" s="50">
        <v>8.0950500000000005</v>
      </c>
      <c r="AH26" s="51">
        <v>0</v>
      </c>
      <c r="AI26" s="52">
        <v>0</v>
      </c>
      <c r="AJ26" s="50">
        <f t="shared" si="14"/>
        <v>8.0950500000000005</v>
      </c>
      <c r="AK26" s="51">
        <v>1.25518E-2</v>
      </c>
      <c r="AL26" s="51">
        <v>1.2623200000000001</v>
      </c>
      <c r="AM26" s="51">
        <f t="shared" si="15"/>
        <v>11</v>
      </c>
      <c r="AN26" s="51">
        <v>75.979399999999998</v>
      </c>
      <c r="AO26" s="51">
        <f t="shared" si="16"/>
        <v>0</v>
      </c>
      <c r="AP26" s="51">
        <v>0</v>
      </c>
      <c r="AQ26" s="51">
        <v>0</v>
      </c>
      <c r="AR26" s="51">
        <v>0</v>
      </c>
      <c r="AS26" s="51">
        <v>0</v>
      </c>
      <c r="AT26" s="216">
        <f t="shared" si="12"/>
        <v>7.1024900000000003E-6</v>
      </c>
      <c r="AU26" s="55">
        <f t="shared" si="17"/>
        <v>56.997101074971688</v>
      </c>
      <c r="AV26" s="56">
        <f t="shared" si="18"/>
        <v>0.61799999999999999</v>
      </c>
      <c r="AW26" s="57">
        <f t="shared" si="13"/>
        <v>1.284</v>
      </c>
      <c r="AX26" s="58">
        <f t="shared" si="19"/>
        <v>1.3684631833200762</v>
      </c>
      <c r="AY26" s="58">
        <f t="shared" si="20"/>
        <v>77.998434377071888</v>
      </c>
      <c r="AZ26" s="46">
        <f t="shared" si="21"/>
        <v>11</v>
      </c>
      <c r="BA26" s="56">
        <f t="shared" si="22"/>
        <v>0</v>
      </c>
      <c r="BB26" s="56">
        <f t="shared" si="23"/>
        <v>0</v>
      </c>
      <c r="BC26" s="56">
        <f t="shared" si="24"/>
        <v>78.770272090899809</v>
      </c>
      <c r="BD26" s="56">
        <f t="shared" si="25"/>
        <v>2.7908720908998106</v>
      </c>
      <c r="BE26" s="59">
        <f t="shared" si="26"/>
        <v>3.5430524953362894E-2</v>
      </c>
      <c r="BF26" s="56">
        <f t="shared" si="27"/>
        <v>0.14010449993106275</v>
      </c>
      <c r="BG26" s="56">
        <f t="shared" si="28"/>
        <v>8.0273965368408291</v>
      </c>
      <c r="BH26" s="56">
        <f t="shared" si="29"/>
        <v>7.9213965368408292</v>
      </c>
      <c r="BI26" s="56">
        <f t="shared" si="30"/>
        <v>-0.1736534631591713</v>
      </c>
      <c r="BJ26" s="59">
        <f t="shared" si="31"/>
        <v>-2.1922076789306508E-2</v>
      </c>
      <c r="BK26" s="56">
        <f t="shared" si="32"/>
        <v>61.249397167889434</v>
      </c>
      <c r="BL26" s="56">
        <f t="shared" si="33"/>
        <v>61.249397167889434</v>
      </c>
      <c r="BM26" s="59">
        <f t="shared" si="34"/>
        <v>1</v>
      </c>
      <c r="BN26" s="56">
        <f t="shared" si="35"/>
        <v>6159.780990214168</v>
      </c>
      <c r="BO26" s="56">
        <f t="shared" si="36"/>
        <v>6159.780990214168</v>
      </c>
      <c r="BP26" s="59">
        <f t="shared" si="48"/>
        <v>1</v>
      </c>
      <c r="BQ26" s="60">
        <f t="shared" si="37"/>
        <v>6160.0854974632675</v>
      </c>
      <c r="BR26" s="56">
        <f t="shared" si="38"/>
        <v>6107.9770824707502</v>
      </c>
      <c r="BS26" s="56">
        <f t="shared" si="39"/>
        <v>6107.9770824707502</v>
      </c>
      <c r="BT26" s="59">
        <f t="shared" si="40"/>
        <v>1</v>
      </c>
      <c r="BU26" s="56">
        <f t="shared" si="41"/>
        <v>799.5431796153083</v>
      </c>
      <c r="BV26" s="56">
        <f t="shared" si="42"/>
        <v>799.54317251281827</v>
      </c>
      <c r="BW26" s="59">
        <f t="shared" si="43"/>
        <v>0.99999999111681492</v>
      </c>
      <c r="BX26" s="56">
        <f t="shared" si="44"/>
        <v>3774.7298369669238</v>
      </c>
      <c r="BY26" s="59">
        <f t="shared" si="45"/>
        <v>1.9274514632689099E-2</v>
      </c>
      <c r="BZ26" s="56">
        <f t="shared" si="46"/>
        <v>28163.275635004869</v>
      </c>
      <c r="CA26" s="61">
        <f t="shared" si="47"/>
        <v>2.661110125043745E-2</v>
      </c>
      <c r="CB26" s="63">
        <f>BX26*AF26</f>
        <v>2332.7830392455589</v>
      </c>
      <c r="CC26"/>
    </row>
    <row r="27" spans="1:81" x14ac:dyDescent="0.3">
      <c r="A27" s="169">
        <v>3</v>
      </c>
      <c r="B27" s="19" t="s">
        <v>47</v>
      </c>
      <c r="C27" s="21">
        <v>3.7090000000000001</v>
      </c>
      <c r="D27" s="20">
        <f t="shared" si="49"/>
        <v>14863.397999999999</v>
      </c>
      <c r="E27" s="21">
        <v>3.4870000000000001</v>
      </c>
      <c r="F27" s="7">
        <v>1</v>
      </c>
      <c r="G27" s="175">
        <f t="shared" ref="G27:G43" si="50">E27*F27</f>
        <v>3.4870000000000001</v>
      </c>
      <c r="H27" s="175">
        <f t="shared" ref="H27:H43" si="51">0.6*0.89</f>
        <v>0.53400000000000003</v>
      </c>
      <c r="I27" s="176">
        <f t="shared" ref="I27:I43" si="52">(((-N27)-SQRT(N27^2-(4*M27*O27)))/2/M27)*1000</f>
        <v>40.869222829901716</v>
      </c>
      <c r="J27" s="177">
        <f t="shared" ref="J27:J43" si="53">D27*10^3*(G27/2)/K27</f>
        <v>0.129571672065</v>
      </c>
      <c r="K27" s="178">
        <f t="shared" ref="K27:K43" si="54">$L$25*10^6</f>
        <v>200000000</v>
      </c>
      <c r="M27" s="179">
        <f t="shared" ref="M27:M43" si="55">H27</f>
        <v>0.53400000000000003</v>
      </c>
      <c r="N27" s="5">
        <f t="shared" ref="N27:N43" si="56">-H27*G27/2</f>
        <v>-0.93102900000000011</v>
      </c>
      <c r="O27" s="180">
        <f t="shared" ref="O27:O43" si="57">D27*1000/2/K27</f>
        <v>3.7158495E-2</v>
      </c>
      <c r="R27" s="194"/>
      <c r="S27" s="195"/>
      <c r="T27" s="170"/>
      <c r="U27" s="194"/>
      <c r="V27" s="195"/>
      <c r="W27" s="196"/>
      <c r="X27" s="193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/>
    </row>
    <row r="28" spans="1:81" x14ac:dyDescent="0.3">
      <c r="A28" s="169">
        <v>4</v>
      </c>
      <c r="B28" s="19" t="s">
        <v>48</v>
      </c>
      <c r="C28" s="21">
        <v>6.1820000000000004</v>
      </c>
      <c r="D28" s="20">
        <f t="shared" si="49"/>
        <v>13542.876600000001</v>
      </c>
      <c r="E28" s="21">
        <v>3.77</v>
      </c>
      <c r="F28" s="7">
        <v>1</v>
      </c>
      <c r="G28" s="175">
        <f t="shared" si="50"/>
        <v>3.77</v>
      </c>
      <c r="H28" s="175">
        <f t="shared" si="51"/>
        <v>0.53400000000000003</v>
      </c>
      <c r="I28" s="176">
        <f t="shared" si="52"/>
        <v>34.258143629726064</v>
      </c>
      <c r="J28" s="177">
        <f t="shared" si="53"/>
        <v>0.12764161195500001</v>
      </c>
      <c r="K28" s="178">
        <f t="shared" si="54"/>
        <v>200000000</v>
      </c>
      <c r="M28" s="179">
        <f t="shared" si="55"/>
        <v>0.53400000000000003</v>
      </c>
      <c r="N28" s="5">
        <f t="shared" si="56"/>
        <v>-1.0065900000000001</v>
      </c>
      <c r="O28" s="180">
        <f t="shared" si="57"/>
        <v>3.3857191500000001E-2</v>
      </c>
      <c r="R28" s="194"/>
      <c r="S28" s="195"/>
      <c r="T28" s="170"/>
      <c r="U28" s="194"/>
      <c r="V28" s="195"/>
      <c r="W28" s="196"/>
      <c r="X28" s="193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 t="s">
        <v>322</v>
      </c>
      <c r="BX28" s="44">
        <f>SUM(BX9:BX26)</f>
        <v>195840.46129831337</v>
      </c>
      <c r="BY28" s="41" t="s">
        <v>143</v>
      </c>
      <c r="BZ28" s="44">
        <f>SUM(BZ9:BZ26)</f>
        <v>1058328.0778183467</v>
      </c>
      <c r="CA28" s="40" t="s">
        <v>106</v>
      </c>
      <c r="CB28" s="40"/>
      <c r="CC28"/>
    </row>
    <row r="29" spans="1:81" x14ac:dyDescent="0.3">
      <c r="A29" s="169">
        <v>5</v>
      </c>
      <c r="B29" s="19" t="s">
        <v>49</v>
      </c>
      <c r="C29" s="21">
        <v>9.2729999999999997</v>
      </c>
      <c r="D29" s="20">
        <f t="shared" si="49"/>
        <v>11928.706349999999</v>
      </c>
      <c r="E29" s="21">
        <v>4.1230000000000002</v>
      </c>
      <c r="F29" s="7">
        <v>0.40500000000000003</v>
      </c>
      <c r="G29" s="175">
        <f t="shared" si="50"/>
        <v>1.6698150000000003</v>
      </c>
      <c r="H29" s="175">
        <f t="shared" si="51"/>
        <v>0.53400000000000003</v>
      </c>
      <c r="I29" s="176">
        <f t="shared" si="52"/>
        <v>73.329310475826489</v>
      </c>
      <c r="J29" s="177">
        <f t="shared" si="53"/>
        <v>4.9796831984563125E-2</v>
      </c>
      <c r="K29" s="178">
        <f t="shared" si="54"/>
        <v>200000000</v>
      </c>
      <c r="M29" s="179">
        <f t="shared" si="55"/>
        <v>0.53400000000000003</v>
      </c>
      <c r="N29" s="5">
        <f t="shared" si="56"/>
        <v>-0.44584060500000011</v>
      </c>
      <c r="O29" s="180">
        <f t="shared" si="57"/>
        <v>2.9821765874999993E-2</v>
      </c>
      <c r="R29" s="194"/>
      <c r="S29" s="195"/>
      <c r="T29" s="170"/>
      <c r="U29" s="194"/>
      <c r="V29" s="195"/>
      <c r="W29" s="196"/>
      <c r="X29" s="193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 t="s">
        <v>323</v>
      </c>
      <c r="BX29" s="44">
        <f>3*BX28</f>
        <v>587521.38389494014</v>
      </c>
      <c r="BY29" s="40" t="s">
        <v>143</v>
      </c>
      <c r="BZ29" s="44">
        <f>3*BZ28</f>
        <v>3174984.23345504</v>
      </c>
      <c r="CA29" s="40" t="s">
        <v>106</v>
      </c>
      <c r="CB29" s="40"/>
      <c r="CC29"/>
    </row>
    <row r="30" spans="1:81" ht="12.5" x14ac:dyDescent="0.25">
      <c r="A30" s="169">
        <v>6</v>
      </c>
      <c r="B30" s="19" t="s">
        <v>50</v>
      </c>
      <c r="C30" s="21">
        <v>12.983000000000001</v>
      </c>
      <c r="D30" s="20">
        <f t="shared" si="49"/>
        <v>10143.7446</v>
      </c>
      <c r="E30" s="21">
        <v>4.2089999999999996</v>
      </c>
      <c r="F30" s="7">
        <v>0.35099999999999998</v>
      </c>
      <c r="G30" s="175">
        <f t="shared" si="50"/>
        <v>1.4773589999999999</v>
      </c>
      <c r="H30" s="175">
        <f t="shared" si="51"/>
        <v>0.53400000000000003</v>
      </c>
      <c r="I30" s="176">
        <f t="shared" si="52"/>
        <v>71.141141822787816</v>
      </c>
      <c r="J30" s="177">
        <f t="shared" si="53"/>
        <v>3.7464880946278492E-2</v>
      </c>
      <c r="K30" s="178">
        <f t="shared" si="54"/>
        <v>200000000</v>
      </c>
      <c r="M30" s="179">
        <f t="shared" si="55"/>
        <v>0.53400000000000003</v>
      </c>
      <c r="N30" s="5">
        <f t="shared" si="56"/>
        <v>-0.39445485299999999</v>
      </c>
      <c r="O30" s="180">
        <f t="shared" si="57"/>
        <v>2.53593615E-2</v>
      </c>
      <c r="R30" s="194"/>
      <c r="S30" s="195"/>
      <c r="T30" s="170"/>
      <c r="U30" s="194"/>
      <c r="V30" s="195"/>
      <c r="W30" s="196"/>
      <c r="X30" s="193"/>
    </row>
    <row r="31" spans="1:81" ht="12.5" x14ac:dyDescent="0.25">
      <c r="A31" s="169">
        <v>7</v>
      </c>
      <c r="B31" s="19" t="s">
        <v>50</v>
      </c>
      <c r="C31" s="21">
        <v>16.692</v>
      </c>
      <c r="D31" s="20">
        <f t="shared" si="49"/>
        <v>8509.1011500000004</v>
      </c>
      <c r="E31" s="21">
        <v>4.0330000000000004</v>
      </c>
      <c r="F31" s="7">
        <v>0.35099999999999998</v>
      </c>
      <c r="G31" s="175">
        <f t="shared" si="50"/>
        <v>1.415583</v>
      </c>
      <c r="H31" s="175">
        <f t="shared" si="51"/>
        <v>0.53400000000000003</v>
      </c>
      <c r="I31" s="176">
        <f t="shared" si="52"/>
        <v>61.653408787649376</v>
      </c>
      <c r="J31" s="177">
        <f t="shared" si="53"/>
        <v>3.011334733305113E-2</v>
      </c>
      <c r="K31" s="178">
        <f t="shared" si="54"/>
        <v>200000000</v>
      </c>
      <c r="M31" s="179">
        <f t="shared" si="55"/>
        <v>0.53400000000000003</v>
      </c>
      <c r="N31" s="5">
        <f t="shared" si="56"/>
        <v>-0.37796066100000003</v>
      </c>
      <c r="O31" s="180">
        <f t="shared" si="57"/>
        <v>2.1272752875000002E-2</v>
      </c>
      <c r="R31" s="194"/>
      <c r="S31" s="195"/>
      <c r="T31" s="170"/>
      <c r="U31" s="194"/>
      <c r="V31" s="195"/>
      <c r="W31" s="196"/>
      <c r="X31" s="193"/>
    </row>
    <row r="32" spans="1:81" ht="12.5" x14ac:dyDescent="0.25">
      <c r="A32" s="169">
        <v>8</v>
      </c>
      <c r="B32" s="19" t="s">
        <v>51</v>
      </c>
      <c r="C32" s="21">
        <v>20.401</v>
      </c>
      <c r="D32" s="20">
        <f t="shared" si="49"/>
        <v>6990.7991999999995</v>
      </c>
      <c r="E32" s="21">
        <v>3.8439999999999999</v>
      </c>
      <c r="F32" s="7">
        <v>0.3</v>
      </c>
      <c r="G32" s="175">
        <f t="shared" si="50"/>
        <v>1.1532</v>
      </c>
      <c r="H32" s="175">
        <f t="shared" si="51"/>
        <v>0.53400000000000003</v>
      </c>
      <c r="I32" s="176">
        <f t="shared" si="52"/>
        <v>63.826328212320846</v>
      </c>
      <c r="J32" s="177">
        <f t="shared" si="53"/>
        <v>2.0154474093599998E-2</v>
      </c>
      <c r="K32" s="178">
        <f t="shared" si="54"/>
        <v>200000000</v>
      </c>
      <c r="M32" s="179">
        <f t="shared" si="55"/>
        <v>0.53400000000000003</v>
      </c>
      <c r="N32" s="5">
        <f t="shared" si="56"/>
        <v>-0.30790440000000002</v>
      </c>
      <c r="O32" s="180">
        <f t="shared" si="57"/>
        <v>1.7476997999999997E-2</v>
      </c>
      <c r="R32" s="194"/>
      <c r="S32" s="197"/>
      <c r="T32" s="170"/>
      <c r="U32" s="194"/>
      <c r="V32" s="195"/>
      <c r="W32" s="196"/>
      <c r="X32" s="193"/>
    </row>
    <row r="33" spans="1:24" ht="12.5" x14ac:dyDescent="0.25">
      <c r="A33" s="169">
        <v>9</v>
      </c>
      <c r="B33" s="19" t="s">
        <v>52</v>
      </c>
      <c r="C33" s="21">
        <v>24.111000000000001</v>
      </c>
      <c r="D33" s="20">
        <f t="shared" si="49"/>
        <v>5598.6215999999995</v>
      </c>
      <c r="E33" s="21">
        <v>3.625</v>
      </c>
      <c r="F33" s="7">
        <v>0.25</v>
      </c>
      <c r="G33" s="175">
        <f t="shared" si="50"/>
        <v>0.90625</v>
      </c>
      <c r="H33" s="175">
        <f t="shared" si="51"/>
        <v>0.53400000000000003</v>
      </c>
      <c r="I33" s="176">
        <f t="shared" si="52"/>
        <v>68.07025689217113</v>
      </c>
      <c r="J33" s="177">
        <f t="shared" si="53"/>
        <v>1.2684377062499998E-2</v>
      </c>
      <c r="K33" s="178">
        <f t="shared" si="54"/>
        <v>200000000</v>
      </c>
      <c r="M33" s="179">
        <f t="shared" si="55"/>
        <v>0.53400000000000003</v>
      </c>
      <c r="N33" s="5">
        <f t="shared" si="56"/>
        <v>-0.24196875000000001</v>
      </c>
      <c r="O33" s="180">
        <f t="shared" si="57"/>
        <v>1.3996554E-2</v>
      </c>
      <c r="R33" s="194"/>
      <c r="S33" s="197"/>
      <c r="T33" s="170"/>
      <c r="U33" s="194"/>
      <c r="V33" s="195"/>
      <c r="W33" s="196"/>
      <c r="X33" s="193"/>
    </row>
    <row r="34" spans="1:24" ht="12.5" x14ac:dyDescent="0.25">
      <c r="A34" s="169">
        <v>10</v>
      </c>
      <c r="B34" s="19" t="s">
        <v>52</v>
      </c>
      <c r="C34" s="21">
        <v>27.82</v>
      </c>
      <c r="D34" s="20">
        <f t="shared" si="49"/>
        <v>4342.369349999999</v>
      </c>
      <c r="E34" s="21">
        <v>3.391</v>
      </c>
      <c r="F34" s="7">
        <v>0.25</v>
      </c>
      <c r="G34" s="175">
        <f t="shared" si="50"/>
        <v>0.84775</v>
      </c>
      <c r="H34" s="175">
        <f t="shared" si="51"/>
        <v>0.53400000000000003</v>
      </c>
      <c r="I34" s="176">
        <f t="shared" si="52"/>
        <v>55.131698500890614</v>
      </c>
      <c r="J34" s="177">
        <f t="shared" si="53"/>
        <v>9.2031090411562478E-3</v>
      </c>
      <c r="K34" s="178">
        <f t="shared" si="54"/>
        <v>200000000</v>
      </c>
      <c r="M34" s="179">
        <f t="shared" si="55"/>
        <v>0.53400000000000003</v>
      </c>
      <c r="N34" s="5">
        <f t="shared" si="56"/>
        <v>-0.22634925</v>
      </c>
      <c r="O34" s="180">
        <f t="shared" si="57"/>
        <v>1.0855923374999996E-2</v>
      </c>
      <c r="R34" s="194"/>
      <c r="S34" s="197"/>
      <c r="T34" s="170"/>
      <c r="U34" s="194"/>
      <c r="V34" s="195"/>
      <c r="W34" s="196"/>
      <c r="X34" s="193"/>
    </row>
    <row r="35" spans="1:24" ht="12.5" x14ac:dyDescent="0.25">
      <c r="A35" s="169">
        <v>11</v>
      </c>
      <c r="B35" s="19" t="s">
        <v>53</v>
      </c>
      <c r="C35" s="21">
        <v>31.529</v>
      </c>
      <c r="D35" s="20">
        <f t="shared" si="49"/>
        <v>3231.2808</v>
      </c>
      <c r="E35" s="21">
        <v>3.1680000000000001</v>
      </c>
      <c r="F35" s="7">
        <v>0.21</v>
      </c>
      <c r="G35" s="175">
        <f t="shared" si="50"/>
        <v>0.66527999999999998</v>
      </c>
      <c r="H35" s="175">
        <f t="shared" si="51"/>
        <v>0.53400000000000003</v>
      </c>
      <c r="I35" s="176">
        <f t="shared" si="52"/>
        <v>54.361868098487811</v>
      </c>
      <c r="J35" s="177">
        <f t="shared" si="53"/>
        <v>5.3742662265599999E-3</v>
      </c>
      <c r="K35" s="178">
        <f t="shared" si="54"/>
        <v>200000000</v>
      </c>
      <c r="M35" s="179">
        <f t="shared" si="55"/>
        <v>0.53400000000000003</v>
      </c>
      <c r="N35" s="5">
        <f t="shared" si="56"/>
        <v>-0.17762976</v>
      </c>
      <c r="O35" s="180">
        <f t="shared" si="57"/>
        <v>8.0782019999999996E-3</v>
      </c>
    </row>
    <row r="36" spans="1:24" ht="12.5" x14ac:dyDescent="0.25">
      <c r="A36" s="169">
        <v>12</v>
      </c>
      <c r="B36" s="19" t="s">
        <v>53</v>
      </c>
      <c r="C36" s="21">
        <v>35.238999999999997</v>
      </c>
      <c r="D36" s="20">
        <f t="shared" si="49"/>
        <v>2277.7523999999999</v>
      </c>
      <c r="E36" s="21">
        <v>2.9460000000000002</v>
      </c>
      <c r="F36" s="7">
        <v>0.21</v>
      </c>
      <c r="G36" s="175">
        <f t="shared" si="50"/>
        <v>0.61865999999999999</v>
      </c>
      <c r="H36" s="175">
        <f t="shared" si="51"/>
        <v>0.53400000000000003</v>
      </c>
      <c r="I36" s="176">
        <f t="shared" si="52"/>
        <v>39.523229154058406</v>
      </c>
      <c r="J36" s="177">
        <f t="shared" si="53"/>
        <v>3.5228857494599996E-3</v>
      </c>
      <c r="K36" s="178">
        <f t="shared" si="54"/>
        <v>200000000</v>
      </c>
      <c r="M36" s="179">
        <f t="shared" si="55"/>
        <v>0.53400000000000003</v>
      </c>
      <c r="N36" s="5">
        <f t="shared" si="56"/>
        <v>-0.16518222000000002</v>
      </c>
      <c r="O36" s="180">
        <f t="shared" si="57"/>
        <v>5.6943810000000001E-3</v>
      </c>
    </row>
    <row r="37" spans="1:24" ht="12.5" x14ac:dyDescent="0.25">
      <c r="A37" s="169">
        <v>13</v>
      </c>
      <c r="B37" s="19" t="s">
        <v>54</v>
      </c>
      <c r="C37" s="21">
        <v>38.948</v>
      </c>
      <c r="D37" s="20">
        <f t="shared" si="49"/>
        <v>1490.2111950000001</v>
      </c>
      <c r="E37" s="21">
        <v>2.7229999999999999</v>
      </c>
      <c r="F37" s="7">
        <v>0.18</v>
      </c>
      <c r="G37" s="175">
        <f t="shared" si="50"/>
        <v>0.49013999999999996</v>
      </c>
      <c r="H37" s="175">
        <f t="shared" si="51"/>
        <v>0.53400000000000003</v>
      </c>
      <c r="I37" s="176">
        <f t="shared" si="52"/>
        <v>32.879090804611842</v>
      </c>
      <c r="J37" s="177">
        <f t="shared" si="53"/>
        <v>1.8260302877932499E-3</v>
      </c>
      <c r="K37" s="178">
        <f t="shared" si="54"/>
        <v>200000000</v>
      </c>
      <c r="M37" s="179">
        <f t="shared" si="55"/>
        <v>0.53400000000000003</v>
      </c>
      <c r="N37" s="5">
        <f t="shared" si="56"/>
        <v>-0.13086738000000001</v>
      </c>
      <c r="O37" s="180">
        <f t="shared" si="57"/>
        <v>3.7255279875000004E-3</v>
      </c>
    </row>
    <row r="38" spans="1:24" ht="12.5" x14ac:dyDescent="0.25">
      <c r="A38" s="169">
        <v>14</v>
      </c>
      <c r="B38" s="19" t="s">
        <v>54</v>
      </c>
      <c r="C38" s="21">
        <v>42.656999999999996</v>
      </c>
      <c r="D38" s="20">
        <f t="shared" si="49"/>
        <v>869.48119500000007</v>
      </c>
      <c r="E38" s="21">
        <v>2.5009999999999999</v>
      </c>
      <c r="F38" s="7">
        <v>0.18</v>
      </c>
      <c r="G38" s="175">
        <f t="shared" si="50"/>
        <v>0.45017999999999997</v>
      </c>
      <c r="H38" s="175">
        <f t="shared" si="51"/>
        <v>0.53400000000000003</v>
      </c>
      <c r="I38" s="176">
        <f t="shared" si="52"/>
        <v>19.831612727749064</v>
      </c>
      <c r="J38" s="177">
        <f t="shared" si="53"/>
        <v>9.7855761091274998E-4</v>
      </c>
      <c r="K38" s="178">
        <f t="shared" si="54"/>
        <v>200000000</v>
      </c>
      <c r="L38" s="183"/>
      <c r="M38" s="179">
        <f t="shared" si="55"/>
        <v>0.53400000000000003</v>
      </c>
      <c r="N38" s="5">
        <f t="shared" si="56"/>
        <v>-0.12019806</v>
      </c>
      <c r="O38" s="180">
        <f t="shared" si="57"/>
        <v>2.1737029875000002E-3</v>
      </c>
    </row>
    <row r="39" spans="1:24" ht="12.5" x14ac:dyDescent="0.25">
      <c r="A39" s="169">
        <v>15</v>
      </c>
      <c r="B39" s="19" t="s">
        <v>54</v>
      </c>
      <c r="C39" s="21">
        <v>46.366999999999997</v>
      </c>
      <c r="D39" s="20">
        <f t="shared" si="49"/>
        <v>414.90718500000003</v>
      </c>
      <c r="E39" s="21">
        <v>2.278</v>
      </c>
      <c r="F39" s="7">
        <v>0.18</v>
      </c>
      <c r="G39" s="175">
        <f t="shared" si="50"/>
        <v>0.41004000000000002</v>
      </c>
      <c r="H39" s="175">
        <f t="shared" si="51"/>
        <v>0.53400000000000003</v>
      </c>
      <c r="I39" s="176">
        <f t="shared" si="52"/>
        <v>9.9581187007931593</v>
      </c>
      <c r="J39" s="177">
        <f t="shared" si="53"/>
        <v>4.2532135534350011E-4</v>
      </c>
      <c r="K39" s="178">
        <f t="shared" si="54"/>
        <v>200000000</v>
      </c>
      <c r="L39" s="183"/>
      <c r="M39" s="179">
        <f t="shared" si="55"/>
        <v>0.53400000000000003</v>
      </c>
      <c r="N39" s="5">
        <f t="shared" si="56"/>
        <v>-0.10948068000000001</v>
      </c>
      <c r="O39" s="180">
        <f t="shared" si="57"/>
        <v>1.0372679625000002E-3</v>
      </c>
    </row>
    <row r="40" spans="1:24" ht="12.5" x14ac:dyDescent="0.25">
      <c r="A40" s="169">
        <v>16</v>
      </c>
      <c r="B40" s="19" t="s">
        <v>54</v>
      </c>
      <c r="C40" s="21">
        <v>49.457999999999998</v>
      </c>
      <c r="D40" s="20">
        <f t="shared" si="49"/>
        <v>160.8164415</v>
      </c>
      <c r="E40" s="21">
        <v>2.0960000000000001</v>
      </c>
      <c r="F40" s="7">
        <v>0.18</v>
      </c>
      <c r="G40" s="175">
        <f t="shared" si="50"/>
        <v>0.37728</v>
      </c>
      <c r="H40" s="175">
        <f t="shared" si="51"/>
        <v>0.53400000000000003</v>
      </c>
      <c r="I40" s="176">
        <f t="shared" si="52"/>
        <v>4.0793415476075578</v>
      </c>
      <c r="J40" s="177">
        <f t="shared" si="53"/>
        <v>1.5168206762279998E-4</v>
      </c>
      <c r="K40" s="178">
        <f t="shared" si="54"/>
        <v>200000000</v>
      </c>
      <c r="L40" s="183"/>
      <c r="M40" s="179">
        <f t="shared" si="55"/>
        <v>0.53400000000000003</v>
      </c>
      <c r="N40" s="5">
        <f t="shared" si="56"/>
        <v>-0.10073376000000001</v>
      </c>
      <c r="O40" s="180">
        <f t="shared" si="57"/>
        <v>4.0204110374999997E-4</v>
      </c>
    </row>
    <row r="41" spans="1:24" ht="12.5" x14ac:dyDescent="0.25">
      <c r="A41" s="169">
        <v>17</v>
      </c>
      <c r="B41" s="19" t="s">
        <v>54</v>
      </c>
      <c r="C41" s="21">
        <v>51.930999999999997</v>
      </c>
      <c r="D41" s="20">
        <f t="shared" si="49"/>
        <v>44.687659500000002</v>
      </c>
      <c r="E41" s="21">
        <v>1.887</v>
      </c>
      <c r="F41" s="7">
        <v>0.18</v>
      </c>
      <c r="G41" s="175">
        <f t="shared" si="50"/>
        <v>0.33965999999999996</v>
      </c>
      <c r="H41" s="175">
        <f t="shared" si="51"/>
        <v>0.53400000000000003</v>
      </c>
      <c r="I41" s="176">
        <f t="shared" si="52"/>
        <v>1.2409578127418495</v>
      </c>
      <c r="J41" s="177">
        <f t="shared" si="53"/>
        <v>3.7946526064424998E-5</v>
      </c>
      <c r="K41" s="178">
        <f t="shared" si="54"/>
        <v>200000000</v>
      </c>
      <c r="L41" s="183"/>
      <c r="M41" s="179">
        <f t="shared" si="55"/>
        <v>0.53400000000000003</v>
      </c>
      <c r="N41" s="5">
        <f t="shared" si="56"/>
        <v>-9.0689220000000001E-2</v>
      </c>
      <c r="O41" s="180">
        <f t="shared" si="57"/>
        <v>1.1171914875000001E-4</v>
      </c>
    </row>
    <row r="42" spans="1:24" ht="12.5" x14ac:dyDescent="0.25">
      <c r="A42" s="169">
        <v>18</v>
      </c>
      <c r="B42" s="19" t="s">
        <v>54</v>
      </c>
      <c r="C42" s="21">
        <v>54.404000000000003</v>
      </c>
      <c r="D42" s="20">
        <f t="shared" si="49"/>
        <v>2.2130113499999999</v>
      </c>
      <c r="E42" s="21">
        <v>1.284</v>
      </c>
      <c r="F42" s="7">
        <v>0.18</v>
      </c>
      <c r="G42" s="175">
        <f t="shared" si="50"/>
        <v>0.23111999999999999</v>
      </c>
      <c r="H42" s="175">
        <f t="shared" si="51"/>
        <v>0.53400000000000003</v>
      </c>
      <c r="I42" s="176">
        <f t="shared" si="52"/>
        <v>8.9724736556249282E-2</v>
      </c>
      <c r="J42" s="177">
        <f t="shared" si="53"/>
        <v>1.2786779580299998E-6</v>
      </c>
      <c r="K42" s="178">
        <f t="shared" si="54"/>
        <v>200000000</v>
      </c>
      <c r="L42" s="183"/>
      <c r="M42" s="179">
        <f t="shared" si="55"/>
        <v>0.53400000000000003</v>
      </c>
      <c r="N42" s="5">
        <f t="shared" si="56"/>
        <v>-6.170904E-2</v>
      </c>
      <c r="O42" s="180">
        <f t="shared" si="57"/>
        <v>5.5325283749999992E-6</v>
      </c>
    </row>
    <row r="43" spans="1:24" ht="13" thickBot="1" x14ac:dyDescent="0.3">
      <c r="A43" s="184">
        <v>19</v>
      </c>
      <c r="B43" s="14" t="s">
        <v>54</v>
      </c>
      <c r="C43" s="22">
        <v>55.64</v>
      </c>
      <c r="D43" s="23">
        <f t="shared" si="49"/>
        <v>1.289101935E-5</v>
      </c>
      <c r="E43" s="22">
        <v>1.284</v>
      </c>
      <c r="F43" s="15">
        <v>0.18</v>
      </c>
      <c r="G43" s="185">
        <f t="shared" si="50"/>
        <v>0.23111999999999999</v>
      </c>
      <c r="H43" s="185">
        <f t="shared" si="51"/>
        <v>0.53400000000000003</v>
      </c>
      <c r="I43" s="186">
        <f t="shared" si="52"/>
        <v>5.2225003478053257E-7</v>
      </c>
      <c r="J43" s="187">
        <f t="shared" si="53"/>
        <v>7.4484309804300002E-12</v>
      </c>
      <c r="K43" s="188">
        <f t="shared" si="54"/>
        <v>200000000</v>
      </c>
      <c r="L43" s="183"/>
      <c r="M43" s="189">
        <f t="shared" si="55"/>
        <v>0.53400000000000003</v>
      </c>
      <c r="N43" s="190">
        <f t="shared" si="56"/>
        <v>-6.170904E-2</v>
      </c>
      <c r="O43" s="191">
        <f t="shared" si="57"/>
        <v>3.2227548374999999E-11</v>
      </c>
    </row>
    <row r="44" spans="1:24" x14ac:dyDescent="0.3">
      <c r="E44" s="40"/>
      <c r="F44" s="40"/>
    </row>
    <row r="45" spans="1:24" x14ac:dyDescent="0.3">
      <c r="E45" s="40"/>
      <c r="F45" s="40"/>
    </row>
    <row r="46" spans="1:24" ht="14.5" thickBot="1" x14ac:dyDescent="0.35">
      <c r="E46" s="40"/>
      <c r="F46" s="40"/>
    </row>
    <row r="47" spans="1:24" ht="52" x14ac:dyDescent="0.25">
      <c r="A47" s="8" t="s">
        <v>55</v>
      </c>
      <c r="B47" s="9" t="s">
        <v>46</v>
      </c>
      <c r="C47" s="10" t="s">
        <v>45</v>
      </c>
      <c r="D47" s="10" t="s">
        <v>99</v>
      </c>
      <c r="E47" s="11" t="s">
        <v>56</v>
      </c>
      <c r="F47" s="12" t="s">
        <v>57</v>
      </c>
      <c r="G47" s="10" t="s">
        <v>43</v>
      </c>
      <c r="H47" s="10" t="s">
        <v>42</v>
      </c>
      <c r="I47" s="10" t="s">
        <v>76</v>
      </c>
      <c r="J47" s="10" t="s">
        <v>40</v>
      </c>
      <c r="K47" s="13" t="s">
        <v>381</v>
      </c>
      <c r="L47" s="6" t="s">
        <v>202</v>
      </c>
      <c r="M47" s="16" t="s">
        <v>59</v>
      </c>
      <c r="N47" s="9" t="s">
        <v>60</v>
      </c>
      <c r="O47" s="17" t="s">
        <v>61</v>
      </c>
    </row>
    <row r="48" spans="1:24" ht="13" thickBot="1" x14ac:dyDescent="0.3">
      <c r="A48" s="169"/>
      <c r="C48" s="170" t="s">
        <v>38</v>
      </c>
      <c r="D48" s="170" t="s">
        <v>39</v>
      </c>
      <c r="E48" s="170" t="s">
        <v>38</v>
      </c>
      <c r="F48" s="170" t="s">
        <v>58</v>
      </c>
      <c r="G48" s="170" t="s">
        <v>38</v>
      </c>
      <c r="H48" s="170" t="s">
        <v>38</v>
      </c>
      <c r="I48" s="170" t="s">
        <v>37</v>
      </c>
      <c r="J48" s="170" t="s">
        <v>36</v>
      </c>
      <c r="K48" s="171" t="s">
        <v>62</v>
      </c>
      <c r="L48" s="172">
        <f>2/3*80+1/3*200</f>
        <v>119.99999999999999</v>
      </c>
      <c r="M48" s="173" t="s">
        <v>38</v>
      </c>
      <c r="N48" s="170" t="s">
        <v>38</v>
      </c>
      <c r="O48" s="171" t="s">
        <v>38</v>
      </c>
    </row>
    <row r="49" spans="1:15" ht="12.5" x14ac:dyDescent="0.25">
      <c r="A49" s="198">
        <v>2</v>
      </c>
      <c r="B49" s="103" t="s">
        <v>47</v>
      </c>
      <c r="C49" s="199">
        <v>1.236</v>
      </c>
      <c r="D49" s="104">
        <f t="shared" ref="D49:D66" si="58">U3</f>
        <v>16203.321750000001</v>
      </c>
      <c r="E49" s="105">
        <v>3.2050000000000001</v>
      </c>
      <c r="F49" s="106">
        <v>1</v>
      </c>
      <c r="G49" s="199">
        <f>E49*F49</f>
        <v>3.2050000000000001</v>
      </c>
      <c r="H49" s="199">
        <f>0.6*0.89</f>
        <v>0.53400000000000003</v>
      </c>
      <c r="I49" s="200">
        <f>(((-N49)-SQRT(N49^2-(4*M49*O49)))/2/M49)*1000</f>
        <v>83.217166945292561</v>
      </c>
      <c r="J49" s="201">
        <f>D49*10^3*(G49/2)/K49</f>
        <v>0.21638185920312505</v>
      </c>
      <c r="K49" s="202">
        <f>$L$48*10^6</f>
        <v>119999999.99999999</v>
      </c>
      <c r="M49" s="179">
        <f>H49</f>
        <v>0.53400000000000003</v>
      </c>
      <c r="N49" s="5">
        <f>-H49*G49/2</f>
        <v>-0.85573500000000002</v>
      </c>
      <c r="O49" s="180">
        <f>D49*1000/2/K49</f>
        <v>6.7513840625000016E-2</v>
      </c>
    </row>
    <row r="50" spans="1:15" ht="12.5" x14ac:dyDescent="0.25">
      <c r="A50" s="169">
        <v>3</v>
      </c>
      <c r="B50" s="19" t="s">
        <v>47</v>
      </c>
      <c r="C50" s="21">
        <v>3.7090000000000001</v>
      </c>
      <c r="D50" s="20">
        <f t="shared" si="58"/>
        <v>14863.397999999999</v>
      </c>
      <c r="E50" s="21">
        <v>3.4870000000000001</v>
      </c>
      <c r="F50" s="7">
        <v>1</v>
      </c>
      <c r="G50" s="175">
        <f t="shared" ref="G50:G66" si="59">E50*F50</f>
        <v>3.4870000000000001</v>
      </c>
      <c r="H50" s="175">
        <f t="shared" ref="H50:H66" si="60">0.6*0.89</f>
        <v>0.53400000000000003</v>
      </c>
      <c r="I50" s="176">
        <f t="shared" ref="I50:I66" si="61">(((-N50)-SQRT(N50^2-(4*M50*O50)))/2/M50)*1000</f>
        <v>69.270882025803587</v>
      </c>
      <c r="J50" s="177">
        <f t="shared" ref="J50:J66" si="62">D50*10^3*(G50/2)/K50</f>
        <v>0.21595278677500004</v>
      </c>
      <c r="K50" s="178">
        <f t="shared" ref="K50:K66" si="63">$L$48*10^6</f>
        <v>119999999.99999999</v>
      </c>
      <c r="M50" s="179">
        <f t="shared" ref="M50:M66" si="64">H50</f>
        <v>0.53400000000000003</v>
      </c>
      <c r="N50" s="5">
        <f t="shared" ref="N50:N66" si="65">-H50*G50/2</f>
        <v>-0.93102900000000011</v>
      </c>
      <c r="O50" s="180">
        <f t="shared" ref="O50:O66" si="66">D50*1000/2/K50</f>
        <v>6.1930825000000009E-2</v>
      </c>
    </row>
    <row r="51" spans="1:15" ht="12.5" x14ac:dyDescent="0.25">
      <c r="A51" s="169">
        <v>4</v>
      </c>
      <c r="B51" s="19" t="s">
        <v>48</v>
      </c>
      <c r="C51" s="21">
        <v>6.1820000000000004</v>
      </c>
      <c r="D51" s="20">
        <f t="shared" si="58"/>
        <v>13542.876600000001</v>
      </c>
      <c r="E51" s="21">
        <v>3.77</v>
      </c>
      <c r="F51" s="7">
        <v>1</v>
      </c>
      <c r="G51" s="175">
        <f t="shared" si="59"/>
        <v>3.77</v>
      </c>
      <c r="H51" s="175">
        <f t="shared" si="60"/>
        <v>0.53400000000000003</v>
      </c>
      <c r="I51" s="176">
        <f t="shared" si="61"/>
        <v>57.833613103295924</v>
      </c>
      <c r="J51" s="177">
        <f t="shared" si="62"/>
        <v>0.21273601992500005</v>
      </c>
      <c r="K51" s="178">
        <f t="shared" si="63"/>
        <v>119999999.99999999</v>
      </c>
      <c r="M51" s="179">
        <f t="shared" si="64"/>
        <v>0.53400000000000003</v>
      </c>
      <c r="N51" s="5">
        <f t="shared" si="65"/>
        <v>-1.0065900000000001</v>
      </c>
      <c r="O51" s="180">
        <f t="shared" si="66"/>
        <v>5.6428652500000016E-2</v>
      </c>
    </row>
    <row r="52" spans="1:15" ht="12.5" x14ac:dyDescent="0.25">
      <c r="A52" s="169">
        <v>5</v>
      </c>
      <c r="B52" s="19" t="s">
        <v>49</v>
      </c>
      <c r="C52" s="21">
        <v>9.2729999999999997</v>
      </c>
      <c r="D52" s="20">
        <f t="shared" si="58"/>
        <v>11928.706349999999</v>
      </c>
      <c r="E52" s="21">
        <v>4.1230000000000002</v>
      </c>
      <c r="F52" s="7">
        <v>0.40500000000000003</v>
      </c>
      <c r="G52" s="175">
        <f t="shared" si="59"/>
        <v>1.6698150000000003</v>
      </c>
      <c r="H52" s="175">
        <f t="shared" si="60"/>
        <v>0.53400000000000003</v>
      </c>
      <c r="I52" s="176">
        <f t="shared" si="61"/>
        <v>132.5134740291644</v>
      </c>
      <c r="J52" s="177">
        <f t="shared" si="62"/>
        <v>8.299471997427188E-2</v>
      </c>
      <c r="K52" s="178">
        <f t="shared" si="63"/>
        <v>119999999.99999999</v>
      </c>
      <c r="M52" s="179">
        <f t="shared" si="64"/>
        <v>0.53400000000000003</v>
      </c>
      <c r="N52" s="5">
        <f t="shared" si="65"/>
        <v>-0.44584060500000011</v>
      </c>
      <c r="O52" s="180">
        <f t="shared" si="66"/>
        <v>4.9702943124999996E-2</v>
      </c>
    </row>
    <row r="53" spans="1:15" ht="12.5" x14ac:dyDescent="0.25">
      <c r="A53" s="169">
        <v>6</v>
      </c>
      <c r="B53" s="19" t="s">
        <v>50</v>
      </c>
      <c r="C53" s="21">
        <v>12.983000000000001</v>
      </c>
      <c r="D53" s="20">
        <f t="shared" si="58"/>
        <v>10143.7446</v>
      </c>
      <c r="E53" s="21">
        <v>4.2089999999999996</v>
      </c>
      <c r="F53" s="7">
        <v>0.35099999999999998</v>
      </c>
      <c r="G53" s="175">
        <f t="shared" si="59"/>
        <v>1.4773589999999999</v>
      </c>
      <c r="H53" s="175">
        <f t="shared" si="60"/>
        <v>0.53400000000000003</v>
      </c>
      <c r="I53" s="176">
        <f t="shared" si="61"/>
        <v>130.04331756106336</v>
      </c>
      <c r="J53" s="177">
        <f t="shared" si="62"/>
        <v>6.2441468243797496E-2</v>
      </c>
      <c r="K53" s="178">
        <f t="shared" si="63"/>
        <v>119999999.99999999</v>
      </c>
      <c r="M53" s="179">
        <f t="shared" si="64"/>
        <v>0.53400000000000003</v>
      </c>
      <c r="N53" s="5">
        <f t="shared" si="65"/>
        <v>-0.39445485299999999</v>
      </c>
      <c r="O53" s="180">
        <f t="shared" si="66"/>
        <v>4.2265602500000006E-2</v>
      </c>
    </row>
    <row r="54" spans="1:15" ht="12.5" x14ac:dyDescent="0.25">
      <c r="A54" s="169">
        <v>7</v>
      </c>
      <c r="B54" s="19" t="s">
        <v>50</v>
      </c>
      <c r="C54" s="21">
        <v>16.692</v>
      </c>
      <c r="D54" s="20">
        <f t="shared" si="58"/>
        <v>8509.1011500000004</v>
      </c>
      <c r="E54" s="21">
        <v>4.0330000000000004</v>
      </c>
      <c r="F54" s="7">
        <v>0.35099999999999998</v>
      </c>
      <c r="G54" s="175">
        <f t="shared" si="59"/>
        <v>1.415583</v>
      </c>
      <c r="H54" s="175">
        <f t="shared" si="60"/>
        <v>0.53400000000000003</v>
      </c>
      <c r="I54" s="176">
        <f t="shared" si="61"/>
        <v>111.31000828499667</v>
      </c>
      <c r="J54" s="177">
        <f t="shared" si="62"/>
        <v>5.018891222175189E-2</v>
      </c>
      <c r="K54" s="178">
        <f t="shared" si="63"/>
        <v>119999999.99999999</v>
      </c>
      <c r="M54" s="179">
        <f t="shared" si="64"/>
        <v>0.53400000000000003</v>
      </c>
      <c r="N54" s="5">
        <f t="shared" si="65"/>
        <v>-0.37796066100000003</v>
      </c>
      <c r="O54" s="180">
        <f t="shared" si="66"/>
        <v>3.5454588125000006E-2</v>
      </c>
    </row>
    <row r="55" spans="1:15" ht="12.5" x14ac:dyDescent="0.25">
      <c r="A55" s="169">
        <v>8</v>
      </c>
      <c r="B55" s="19" t="s">
        <v>51</v>
      </c>
      <c r="C55" s="21">
        <v>20.401</v>
      </c>
      <c r="D55" s="20">
        <f t="shared" si="58"/>
        <v>6990.7991999999995</v>
      </c>
      <c r="E55" s="21">
        <v>3.8439999999999999</v>
      </c>
      <c r="F55" s="7">
        <v>0.3</v>
      </c>
      <c r="G55" s="175">
        <f t="shared" si="59"/>
        <v>1.1532</v>
      </c>
      <c r="H55" s="175">
        <f t="shared" si="60"/>
        <v>0.53400000000000003</v>
      </c>
      <c r="I55" s="176">
        <f t="shared" si="61"/>
        <v>119.27498545164636</v>
      </c>
      <c r="J55" s="177">
        <f t="shared" si="62"/>
        <v>3.3590790156E-2</v>
      </c>
      <c r="K55" s="178">
        <f t="shared" si="63"/>
        <v>119999999.99999999</v>
      </c>
      <c r="M55" s="179">
        <f t="shared" si="64"/>
        <v>0.53400000000000003</v>
      </c>
      <c r="N55" s="5">
        <f t="shared" si="65"/>
        <v>-0.30790440000000002</v>
      </c>
      <c r="O55" s="180">
        <f t="shared" si="66"/>
        <v>2.9128330000000001E-2</v>
      </c>
    </row>
    <row r="56" spans="1:15" ht="12.5" x14ac:dyDescent="0.25">
      <c r="A56" s="169">
        <v>9</v>
      </c>
      <c r="B56" s="19" t="s">
        <v>52</v>
      </c>
      <c r="C56" s="21">
        <v>24.111000000000001</v>
      </c>
      <c r="D56" s="20">
        <f t="shared" si="58"/>
        <v>5598.6215999999995</v>
      </c>
      <c r="E56" s="21">
        <v>3.625</v>
      </c>
      <c r="F56" s="7">
        <v>0.25</v>
      </c>
      <c r="G56" s="175">
        <f t="shared" si="59"/>
        <v>0.90625</v>
      </c>
      <c r="H56" s="175">
        <f t="shared" si="60"/>
        <v>0.53400000000000003</v>
      </c>
      <c r="I56" s="176">
        <f t="shared" si="61"/>
        <v>139.12142876865468</v>
      </c>
      <c r="J56" s="177">
        <f t="shared" si="62"/>
        <v>2.11406284375E-2</v>
      </c>
      <c r="K56" s="178">
        <f t="shared" si="63"/>
        <v>119999999.99999999</v>
      </c>
      <c r="M56" s="179">
        <f t="shared" si="64"/>
        <v>0.53400000000000003</v>
      </c>
      <c r="N56" s="5">
        <f t="shared" si="65"/>
        <v>-0.24196875000000001</v>
      </c>
      <c r="O56" s="180">
        <f t="shared" si="66"/>
        <v>2.3327590000000002E-2</v>
      </c>
    </row>
    <row r="57" spans="1:15" ht="12.5" x14ac:dyDescent="0.25">
      <c r="A57" s="169">
        <v>10</v>
      </c>
      <c r="B57" s="19" t="s">
        <v>52</v>
      </c>
      <c r="C57" s="21">
        <v>27.82</v>
      </c>
      <c r="D57" s="20">
        <f t="shared" si="58"/>
        <v>4342.369349999999</v>
      </c>
      <c r="E57" s="21">
        <v>3.391</v>
      </c>
      <c r="F57" s="7">
        <v>0.25</v>
      </c>
      <c r="G57" s="175">
        <f t="shared" si="59"/>
        <v>0.84775</v>
      </c>
      <c r="H57" s="175">
        <f t="shared" si="60"/>
        <v>0.53400000000000003</v>
      </c>
      <c r="I57" s="176">
        <f t="shared" si="61"/>
        <v>106.88943305540161</v>
      </c>
      <c r="J57" s="177">
        <f t="shared" si="62"/>
        <v>1.5338515068593747E-2</v>
      </c>
      <c r="K57" s="178">
        <f t="shared" si="63"/>
        <v>119999999.99999999</v>
      </c>
      <c r="M57" s="179">
        <f t="shared" si="64"/>
        <v>0.53400000000000003</v>
      </c>
      <c r="N57" s="5">
        <f t="shared" si="65"/>
        <v>-0.22634925</v>
      </c>
      <c r="O57" s="180">
        <f t="shared" si="66"/>
        <v>1.8093205624999997E-2</v>
      </c>
    </row>
    <row r="58" spans="1:15" ht="12.5" x14ac:dyDescent="0.25">
      <c r="A58" s="169">
        <v>11</v>
      </c>
      <c r="B58" s="19" t="s">
        <v>53</v>
      </c>
      <c r="C58" s="21">
        <v>31.529</v>
      </c>
      <c r="D58" s="20">
        <f t="shared" si="58"/>
        <v>3231.2808</v>
      </c>
      <c r="E58" s="21">
        <v>3.1680000000000001</v>
      </c>
      <c r="F58" s="7">
        <v>0.21</v>
      </c>
      <c r="G58" s="175">
        <f t="shared" si="59"/>
        <v>0.66527999999999998</v>
      </c>
      <c r="H58" s="175">
        <f t="shared" si="60"/>
        <v>0.53400000000000003</v>
      </c>
      <c r="I58" s="176">
        <f t="shared" si="61"/>
        <v>116.82780635836932</v>
      </c>
      <c r="J58" s="177">
        <f t="shared" si="62"/>
        <v>8.9571103776000006E-3</v>
      </c>
      <c r="K58" s="178">
        <f t="shared" si="63"/>
        <v>119999999.99999999</v>
      </c>
      <c r="M58" s="179">
        <f t="shared" si="64"/>
        <v>0.53400000000000003</v>
      </c>
      <c r="N58" s="5">
        <f t="shared" si="65"/>
        <v>-0.17762976</v>
      </c>
      <c r="O58" s="180">
        <f t="shared" si="66"/>
        <v>1.346367E-2</v>
      </c>
    </row>
    <row r="59" spans="1:15" ht="12.5" x14ac:dyDescent="0.25">
      <c r="A59" s="169">
        <v>12</v>
      </c>
      <c r="B59" s="19" t="s">
        <v>53</v>
      </c>
      <c r="C59" s="21">
        <v>35.238999999999997</v>
      </c>
      <c r="D59" s="20">
        <f t="shared" si="58"/>
        <v>2277.7523999999999</v>
      </c>
      <c r="E59" s="21">
        <v>2.9460000000000002</v>
      </c>
      <c r="F59" s="7">
        <v>0.21</v>
      </c>
      <c r="G59" s="175">
        <f t="shared" si="59"/>
        <v>0.61865999999999999</v>
      </c>
      <c r="H59" s="175">
        <f t="shared" si="60"/>
        <v>0.53400000000000003</v>
      </c>
      <c r="I59" s="176">
        <f t="shared" si="61"/>
        <v>76.25238936944595</v>
      </c>
      <c r="J59" s="177">
        <f t="shared" si="62"/>
        <v>5.8714762490999998E-3</v>
      </c>
      <c r="K59" s="178">
        <f t="shared" si="63"/>
        <v>119999999.99999999</v>
      </c>
      <c r="M59" s="179">
        <f t="shared" si="64"/>
        <v>0.53400000000000003</v>
      </c>
      <c r="N59" s="5">
        <f t="shared" si="65"/>
        <v>-0.16518222000000002</v>
      </c>
      <c r="O59" s="180">
        <f t="shared" si="66"/>
        <v>9.4906350000000007E-3</v>
      </c>
    </row>
    <row r="60" spans="1:15" ht="12.5" x14ac:dyDescent="0.25">
      <c r="A60" s="169">
        <v>13</v>
      </c>
      <c r="B60" s="19" t="s">
        <v>54</v>
      </c>
      <c r="C60" s="21">
        <v>38.948</v>
      </c>
      <c r="D60" s="20">
        <f t="shared" si="58"/>
        <v>1490.2111950000001</v>
      </c>
      <c r="E60" s="21">
        <v>2.7229999999999999</v>
      </c>
      <c r="F60" s="7">
        <v>0.18</v>
      </c>
      <c r="G60" s="175">
        <f t="shared" si="59"/>
        <v>0.49013999999999996</v>
      </c>
      <c r="H60" s="175">
        <f t="shared" si="60"/>
        <v>0.53400000000000003</v>
      </c>
      <c r="I60" s="176">
        <f t="shared" si="61"/>
        <v>64.336323559556135</v>
      </c>
      <c r="J60" s="177">
        <f t="shared" si="62"/>
        <v>3.0433838129887503E-3</v>
      </c>
      <c r="K60" s="178">
        <f t="shared" si="63"/>
        <v>119999999.99999999</v>
      </c>
      <c r="M60" s="179">
        <f t="shared" si="64"/>
        <v>0.53400000000000003</v>
      </c>
      <c r="N60" s="5">
        <f t="shared" si="65"/>
        <v>-0.13086738000000001</v>
      </c>
      <c r="O60" s="180">
        <f t="shared" si="66"/>
        <v>6.2092133125000015E-3</v>
      </c>
    </row>
    <row r="61" spans="1:15" ht="12.5" x14ac:dyDescent="0.25">
      <c r="A61" s="169">
        <v>14</v>
      </c>
      <c r="B61" s="19" t="s">
        <v>54</v>
      </c>
      <c r="C61" s="21">
        <v>42.656999999999996</v>
      </c>
      <c r="D61" s="20">
        <f t="shared" si="58"/>
        <v>869.48119500000007</v>
      </c>
      <c r="E61" s="21">
        <v>2.5009999999999999</v>
      </c>
      <c r="F61" s="7">
        <v>0.18</v>
      </c>
      <c r="G61" s="175">
        <f t="shared" si="59"/>
        <v>0.45017999999999997</v>
      </c>
      <c r="H61" s="175">
        <f t="shared" si="60"/>
        <v>0.53400000000000003</v>
      </c>
      <c r="I61" s="176">
        <f t="shared" si="61"/>
        <v>35.850569851364256</v>
      </c>
      <c r="J61" s="177">
        <f t="shared" si="62"/>
        <v>1.6309293515212502E-3</v>
      </c>
      <c r="K61" s="178">
        <f t="shared" si="63"/>
        <v>119999999.99999999</v>
      </c>
      <c r="L61" s="183"/>
      <c r="M61" s="179">
        <f t="shared" si="64"/>
        <v>0.53400000000000003</v>
      </c>
      <c r="N61" s="5">
        <f t="shared" si="65"/>
        <v>-0.12019806</v>
      </c>
      <c r="O61" s="180">
        <f t="shared" si="66"/>
        <v>3.6228383125000009E-3</v>
      </c>
    </row>
    <row r="62" spans="1:15" ht="12.5" x14ac:dyDescent="0.25">
      <c r="A62" s="169">
        <v>15</v>
      </c>
      <c r="B62" s="19" t="s">
        <v>54</v>
      </c>
      <c r="C62" s="21">
        <v>46.366999999999997</v>
      </c>
      <c r="D62" s="20">
        <f t="shared" si="58"/>
        <v>414.90718500000003</v>
      </c>
      <c r="E62" s="21">
        <v>2.278</v>
      </c>
      <c r="F62" s="7">
        <v>0.18</v>
      </c>
      <c r="G62" s="175">
        <f t="shared" si="59"/>
        <v>0.41004000000000002</v>
      </c>
      <c r="H62" s="175">
        <f t="shared" si="60"/>
        <v>0.53400000000000003</v>
      </c>
      <c r="I62" s="176">
        <f t="shared" si="61"/>
        <v>17.240518433004894</v>
      </c>
      <c r="J62" s="177">
        <f t="shared" si="62"/>
        <v>7.0886892557250024E-4</v>
      </c>
      <c r="K62" s="178">
        <f t="shared" si="63"/>
        <v>119999999.99999999</v>
      </c>
      <c r="L62" s="183"/>
      <c r="M62" s="179">
        <f t="shared" si="64"/>
        <v>0.53400000000000003</v>
      </c>
      <c r="N62" s="5">
        <f t="shared" si="65"/>
        <v>-0.10948068000000001</v>
      </c>
      <c r="O62" s="180">
        <f t="shared" si="66"/>
        <v>1.7287799375000005E-3</v>
      </c>
    </row>
    <row r="63" spans="1:15" ht="12.5" x14ac:dyDescent="0.25">
      <c r="A63" s="169">
        <v>16</v>
      </c>
      <c r="B63" s="19" t="s">
        <v>54</v>
      </c>
      <c r="C63" s="21">
        <v>49.457999999999998</v>
      </c>
      <c r="D63" s="20">
        <f t="shared" si="58"/>
        <v>160.8164415</v>
      </c>
      <c r="E63" s="21">
        <v>2.0960000000000001</v>
      </c>
      <c r="F63" s="7">
        <v>0.18</v>
      </c>
      <c r="G63" s="175">
        <f t="shared" si="59"/>
        <v>0.37728</v>
      </c>
      <c r="H63" s="175">
        <f t="shared" si="60"/>
        <v>0.53400000000000003</v>
      </c>
      <c r="I63" s="176">
        <f t="shared" si="61"/>
        <v>6.9045982494946969</v>
      </c>
      <c r="J63" s="177">
        <f t="shared" si="62"/>
        <v>2.52803446038E-4</v>
      </c>
      <c r="K63" s="178">
        <f t="shared" si="63"/>
        <v>119999999.99999999</v>
      </c>
      <c r="L63" s="183"/>
      <c r="M63" s="179">
        <f t="shared" si="64"/>
        <v>0.53400000000000003</v>
      </c>
      <c r="N63" s="5">
        <f t="shared" si="65"/>
        <v>-0.10073376000000001</v>
      </c>
      <c r="O63" s="180">
        <f t="shared" si="66"/>
        <v>6.7006850625000005E-4</v>
      </c>
    </row>
    <row r="64" spans="1:15" ht="12.5" x14ac:dyDescent="0.25">
      <c r="A64" s="169">
        <v>17</v>
      </c>
      <c r="B64" s="19" t="s">
        <v>54</v>
      </c>
      <c r="C64" s="21">
        <v>51.930999999999997</v>
      </c>
      <c r="D64" s="20">
        <f t="shared" si="58"/>
        <v>44.687659500000002</v>
      </c>
      <c r="E64" s="21">
        <v>1.887</v>
      </c>
      <c r="F64" s="7">
        <v>0.18</v>
      </c>
      <c r="G64" s="175">
        <f t="shared" si="59"/>
        <v>0.33965999999999996</v>
      </c>
      <c r="H64" s="175">
        <f t="shared" si="60"/>
        <v>0.53400000000000003</v>
      </c>
      <c r="I64" s="176">
        <f t="shared" si="61"/>
        <v>2.0785904734009586</v>
      </c>
      <c r="J64" s="177">
        <f t="shared" si="62"/>
        <v>6.3244210107375E-5</v>
      </c>
      <c r="K64" s="178">
        <f t="shared" si="63"/>
        <v>119999999.99999999</v>
      </c>
      <c r="L64" s="183"/>
      <c r="M64" s="179">
        <f t="shared" si="64"/>
        <v>0.53400000000000003</v>
      </c>
      <c r="N64" s="5">
        <f t="shared" si="65"/>
        <v>-9.0689220000000001E-2</v>
      </c>
      <c r="O64" s="180">
        <f t="shared" si="66"/>
        <v>1.8619858125000003E-4</v>
      </c>
    </row>
    <row r="65" spans="1:25" ht="12.5" x14ac:dyDescent="0.25">
      <c r="A65" s="169">
        <v>18</v>
      </c>
      <c r="B65" s="19" t="s">
        <v>54</v>
      </c>
      <c r="C65" s="21">
        <v>54.404000000000003</v>
      </c>
      <c r="D65" s="20">
        <f t="shared" si="58"/>
        <v>2.2130113499999999</v>
      </c>
      <c r="E65" s="21">
        <v>1.284</v>
      </c>
      <c r="F65" s="7">
        <v>0.18</v>
      </c>
      <c r="G65" s="175">
        <f t="shared" si="59"/>
        <v>0.23111999999999999</v>
      </c>
      <c r="H65" s="175">
        <f t="shared" si="60"/>
        <v>0.53400000000000003</v>
      </c>
      <c r="I65" s="176">
        <f t="shared" si="61"/>
        <v>0.14961883445054683</v>
      </c>
      <c r="J65" s="177">
        <f t="shared" si="62"/>
        <v>2.1311299300500001E-6</v>
      </c>
      <c r="K65" s="178">
        <f t="shared" si="63"/>
        <v>119999999.99999999</v>
      </c>
      <c r="L65" s="183"/>
      <c r="M65" s="179">
        <f t="shared" si="64"/>
        <v>0.53400000000000003</v>
      </c>
      <c r="N65" s="5">
        <f t="shared" si="65"/>
        <v>-6.170904E-2</v>
      </c>
      <c r="O65" s="180">
        <f t="shared" si="66"/>
        <v>9.2208806249999996E-6</v>
      </c>
    </row>
    <row r="66" spans="1:25" ht="13" thickBot="1" x14ac:dyDescent="0.3">
      <c r="A66" s="184">
        <v>19</v>
      </c>
      <c r="B66" s="14" t="s">
        <v>54</v>
      </c>
      <c r="C66" s="22">
        <v>55.64</v>
      </c>
      <c r="D66" s="23">
        <f t="shared" si="58"/>
        <v>1.289101935E-5</v>
      </c>
      <c r="E66" s="22">
        <v>1.284</v>
      </c>
      <c r="F66" s="15">
        <v>0.18</v>
      </c>
      <c r="G66" s="185">
        <f t="shared" si="59"/>
        <v>0.23111999999999999</v>
      </c>
      <c r="H66" s="185">
        <f t="shared" si="60"/>
        <v>0.53400000000000003</v>
      </c>
      <c r="I66" s="186">
        <f t="shared" si="61"/>
        <v>8.704167354627071E-7</v>
      </c>
      <c r="J66" s="187">
        <f t="shared" si="62"/>
        <v>1.2414051634050001E-11</v>
      </c>
      <c r="K66" s="188">
        <f t="shared" si="63"/>
        <v>119999999.99999999</v>
      </c>
      <c r="L66" s="183"/>
      <c r="M66" s="189">
        <f t="shared" si="64"/>
        <v>0.53400000000000003</v>
      </c>
      <c r="N66" s="190">
        <f t="shared" si="65"/>
        <v>-6.170904E-2</v>
      </c>
      <c r="O66" s="191">
        <f t="shared" si="66"/>
        <v>5.3712580625000007E-11</v>
      </c>
    </row>
    <row r="67" spans="1:25" x14ac:dyDescent="0.3">
      <c r="E67" s="40"/>
      <c r="F67" s="40"/>
    </row>
    <row r="68" spans="1:25" x14ac:dyDescent="0.3">
      <c r="E68" s="40"/>
      <c r="F68" s="40"/>
    </row>
    <row r="69" spans="1:25" x14ac:dyDescent="0.3">
      <c r="E69" s="40"/>
      <c r="F69" s="40"/>
    </row>
    <row r="70" spans="1:25" ht="14" customHeight="1" x14ac:dyDescent="0.25">
      <c r="E70" s="5"/>
      <c r="F70" s="5"/>
    </row>
    <row r="71" spans="1:25" ht="14" customHeight="1" thickBot="1" x14ac:dyDescent="0.3">
      <c r="E71" s="5"/>
      <c r="F71" s="5"/>
    </row>
    <row r="72" spans="1:25" x14ac:dyDescent="0.3">
      <c r="A72" s="269" t="s">
        <v>66</v>
      </c>
      <c r="B72" s="270"/>
      <c r="C72" s="270"/>
      <c r="D72" s="270"/>
      <c r="E72" s="109"/>
      <c r="F72" s="109"/>
      <c r="G72" s="109"/>
      <c r="H72" s="110"/>
      <c r="I72" s="40"/>
      <c r="J72" s="40"/>
      <c r="K72" s="40"/>
      <c r="L72" s="40"/>
      <c r="U72" s="40"/>
      <c r="V72" s="40"/>
      <c r="W72" s="40"/>
      <c r="X72" s="40"/>
      <c r="Y72" s="40"/>
    </row>
    <row r="73" spans="1:25" x14ac:dyDescent="0.3">
      <c r="A73" s="143" t="s">
        <v>69</v>
      </c>
      <c r="B73" s="271" t="s">
        <v>68</v>
      </c>
      <c r="C73" s="271"/>
      <c r="D73" s="166" t="s">
        <v>382</v>
      </c>
      <c r="E73" s="271" t="s">
        <v>383</v>
      </c>
      <c r="F73" s="271"/>
      <c r="G73" s="272" t="s">
        <v>86</v>
      </c>
      <c r="H73" s="273"/>
      <c r="I73" s="40"/>
      <c r="J73" s="40"/>
      <c r="K73" s="40"/>
      <c r="L73" s="40"/>
      <c r="U73" s="40"/>
      <c r="V73" s="40"/>
      <c r="W73" s="40"/>
      <c r="X73" s="40"/>
      <c r="Y73" s="40"/>
    </row>
    <row r="74" spans="1:25" ht="28" x14ac:dyDescent="0.3">
      <c r="A74" s="133" t="s">
        <v>87</v>
      </c>
      <c r="B74" s="40">
        <v>38</v>
      </c>
      <c r="C74" s="40" t="s">
        <v>63</v>
      </c>
      <c r="D74" s="41">
        <f>40/60</f>
        <v>0.66666666666666663</v>
      </c>
      <c r="E74" s="40">
        <v>1840</v>
      </c>
      <c r="F74" s="40" t="s">
        <v>64</v>
      </c>
      <c r="G74" s="40">
        <v>1.87</v>
      </c>
      <c r="H74" s="77" t="s">
        <v>88</v>
      </c>
      <c r="I74" s="40"/>
      <c r="J74" s="40"/>
      <c r="K74" s="40"/>
      <c r="L74" s="40"/>
      <c r="U74" s="40"/>
      <c r="V74" s="40"/>
      <c r="W74" s="40"/>
      <c r="X74" s="40"/>
      <c r="Y74" s="40"/>
    </row>
    <row r="75" spans="1:25" ht="42" x14ac:dyDescent="0.3">
      <c r="A75" s="133" t="s">
        <v>67</v>
      </c>
      <c r="B75" s="40">
        <v>130</v>
      </c>
      <c r="C75" s="40" t="s">
        <v>63</v>
      </c>
      <c r="D75" s="41">
        <f>20/60</f>
        <v>0.33333333333333331</v>
      </c>
      <c r="E75" s="40">
        <v>1500</v>
      </c>
      <c r="F75" s="40" t="s">
        <v>64</v>
      </c>
      <c r="G75" s="40">
        <v>30</v>
      </c>
      <c r="H75" s="77" t="s">
        <v>88</v>
      </c>
      <c r="I75" s="40"/>
      <c r="J75" s="40"/>
      <c r="K75" s="40"/>
      <c r="L75" s="40"/>
      <c r="U75" s="40"/>
      <c r="V75" s="40"/>
      <c r="W75" s="40"/>
      <c r="X75" s="40"/>
      <c r="Y75" s="40"/>
    </row>
    <row r="76" spans="1:25" ht="28.5" thickBot="1" x14ac:dyDescent="0.35">
      <c r="A76" s="137" t="s">
        <v>65</v>
      </c>
      <c r="B76" s="56">
        <f>B74*D74+B75*D75</f>
        <v>68.666666666666657</v>
      </c>
      <c r="C76" s="57" t="s">
        <v>63</v>
      </c>
      <c r="D76" s="57"/>
      <c r="E76" s="57">
        <f>E74*D74+E75*D75</f>
        <v>1726.6666666666665</v>
      </c>
      <c r="F76" s="57" t="s">
        <v>64</v>
      </c>
      <c r="G76" s="57">
        <f>G74*D74+G75*D75</f>
        <v>11.246666666666666</v>
      </c>
      <c r="H76" s="79" t="s">
        <v>88</v>
      </c>
      <c r="I76" s="40"/>
      <c r="J76" s="40"/>
      <c r="K76" s="40"/>
      <c r="L76" s="40"/>
      <c r="U76" s="40"/>
      <c r="V76" s="40"/>
      <c r="W76" s="40"/>
      <c r="X76" s="40"/>
      <c r="Y76" s="40"/>
    </row>
    <row r="77" spans="1:25" x14ac:dyDescent="0.3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U77" s="40"/>
      <c r="V77" s="40"/>
      <c r="W77" s="40"/>
      <c r="X77" s="40"/>
      <c r="Y77" s="40"/>
    </row>
    <row r="78" spans="1:25" x14ac:dyDescent="0.3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U78" s="40"/>
      <c r="V78" s="40"/>
      <c r="W78" s="40"/>
      <c r="X78" s="40"/>
      <c r="Y78" s="40"/>
    </row>
    <row r="79" spans="1:25" ht="14" customHeight="1" thickBot="1" x14ac:dyDescent="0.35">
      <c r="A79" s="147" t="s">
        <v>204</v>
      </c>
      <c r="B79" s="40"/>
      <c r="C79" s="40"/>
      <c r="D79" s="40"/>
      <c r="E79" s="40"/>
      <c r="F79" s="40"/>
      <c r="G79" s="40"/>
      <c r="H79" s="147" t="s">
        <v>205</v>
      </c>
      <c r="I79" s="40"/>
      <c r="J79" s="40"/>
      <c r="K79" s="40"/>
      <c r="L79" s="40"/>
      <c r="M79" s="40"/>
      <c r="N79" s="40"/>
      <c r="O79" s="147" t="s">
        <v>206</v>
      </c>
      <c r="P79" s="40"/>
      <c r="Q79" s="40"/>
      <c r="R79" s="40"/>
      <c r="S79" s="40"/>
      <c r="T79" s="40"/>
      <c r="U79" s="40"/>
    </row>
    <row r="80" spans="1:25" ht="14" customHeight="1" x14ac:dyDescent="0.3">
      <c r="A80" s="24" t="s">
        <v>55</v>
      </c>
      <c r="B80" s="25" t="s">
        <v>74</v>
      </c>
      <c r="C80" s="25" t="s">
        <v>75</v>
      </c>
      <c r="D80" s="25" t="s">
        <v>76</v>
      </c>
      <c r="E80" s="26" t="s">
        <v>79</v>
      </c>
      <c r="F80" s="27" t="s">
        <v>81</v>
      </c>
      <c r="G80" s="40"/>
      <c r="H80" s="24" t="s">
        <v>55</v>
      </c>
      <c r="I80" s="25" t="s">
        <v>74</v>
      </c>
      <c r="J80" s="25" t="s">
        <v>75</v>
      </c>
      <c r="K80" s="25" t="s">
        <v>76</v>
      </c>
      <c r="L80" s="26" t="s">
        <v>79</v>
      </c>
      <c r="M80" s="27" t="s">
        <v>81</v>
      </c>
      <c r="N80" s="40"/>
      <c r="O80" s="24" t="s">
        <v>55</v>
      </c>
      <c r="P80" s="25" t="s">
        <v>74</v>
      </c>
      <c r="Q80" s="25" t="s">
        <v>75</v>
      </c>
      <c r="R80" s="25" t="s">
        <v>76</v>
      </c>
      <c r="S80" s="26" t="s">
        <v>79</v>
      </c>
      <c r="T80" s="27" t="s">
        <v>81</v>
      </c>
      <c r="U80" s="40"/>
    </row>
    <row r="81" spans="1:21" ht="14" customHeight="1" thickBot="1" x14ac:dyDescent="0.35">
      <c r="A81" s="169"/>
      <c r="B81" s="159" t="s">
        <v>78</v>
      </c>
      <c r="C81" s="159" t="s">
        <v>78</v>
      </c>
      <c r="D81" s="159" t="s">
        <v>77</v>
      </c>
      <c r="E81" s="159" t="s">
        <v>80</v>
      </c>
      <c r="F81" s="203" t="s">
        <v>83</v>
      </c>
      <c r="G81" s="40"/>
      <c r="H81" s="169"/>
      <c r="I81" s="159" t="s">
        <v>78</v>
      </c>
      <c r="J81" s="159" t="s">
        <v>78</v>
      </c>
      <c r="K81" s="159" t="s">
        <v>77</v>
      </c>
      <c r="L81" s="159" t="s">
        <v>80</v>
      </c>
      <c r="M81" s="203" t="s">
        <v>83</v>
      </c>
      <c r="N81" s="40"/>
      <c r="O81" s="169"/>
      <c r="P81" s="159" t="s">
        <v>78</v>
      </c>
      <c r="Q81" s="159" t="s">
        <v>78</v>
      </c>
      <c r="R81" s="159" t="s">
        <v>77</v>
      </c>
      <c r="S81" s="159" t="s">
        <v>80</v>
      </c>
      <c r="T81" s="203" t="s">
        <v>83</v>
      </c>
      <c r="U81" s="40"/>
    </row>
    <row r="82" spans="1:21" ht="14" customHeight="1" x14ac:dyDescent="0.3">
      <c r="A82" s="198">
        <v>2</v>
      </c>
      <c r="B82" s="204">
        <f>'Blade design'!C3</f>
        <v>1.236</v>
      </c>
      <c r="C82" s="204">
        <f>'Blade design'!$H$3</f>
        <v>0.53400000000000003</v>
      </c>
      <c r="D82" s="205">
        <f>'Blade design'!I3</f>
        <v>128.67588306800423</v>
      </c>
      <c r="E82" s="109">
        <f>B82*C82*(D82*0.001)</f>
        <v>8.4929171046076432E-2</v>
      </c>
      <c r="F82" s="110">
        <f>E82*$E$74</f>
        <v>156.26967472478063</v>
      </c>
      <c r="G82" s="40"/>
      <c r="H82" s="198">
        <v>2</v>
      </c>
      <c r="I82" s="204">
        <f>'Blade design'!C26</f>
        <v>1.236</v>
      </c>
      <c r="J82" s="204">
        <f>'Blade design'!$H$26</f>
        <v>0.53400000000000003</v>
      </c>
      <c r="K82" s="205">
        <f>'Blade design'!I26</f>
        <v>48.825043870326169</v>
      </c>
      <c r="L82" s="109">
        <f>I82*J82*(K82*0.001)</f>
        <v>3.2225700755468163E-2</v>
      </c>
      <c r="M82" s="110">
        <f>L82*$E$75</f>
        <v>48.338551133202245</v>
      </c>
      <c r="N82" s="40"/>
      <c r="O82" s="169">
        <v>2</v>
      </c>
      <c r="P82" s="40">
        <f>'Blade design'!$C$49</f>
        <v>1.236</v>
      </c>
      <c r="Q82" s="40">
        <f>'Blade design'!$H$49</f>
        <v>0.53400000000000003</v>
      </c>
      <c r="R82" s="206">
        <f>'Blade design'!I49</f>
        <v>83.217166945292561</v>
      </c>
      <c r="S82" s="40">
        <f>P82*Q82*(R82*0.001)</f>
        <v>5.4925327395899781E-2</v>
      </c>
      <c r="T82" s="77">
        <f>S82*$E$76</f>
        <v>94.837731970253614</v>
      </c>
      <c r="U82" s="40"/>
    </row>
    <row r="83" spans="1:21" ht="14" customHeight="1" x14ac:dyDescent="0.3">
      <c r="A83" s="169">
        <v>3</v>
      </c>
      <c r="B83" s="37">
        <f>'Blade design'!C4-'Blade design'!C3</f>
        <v>2.4729999999999999</v>
      </c>
      <c r="C83" s="37">
        <f>'Blade design'!$H$3</f>
        <v>0.53400000000000003</v>
      </c>
      <c r="D83" s="206">
        <f>'Blade design'!I4</f>
        <v>106.25338281154606</v>
      </c>
      <c r="E83" s="40">
        <f t="shared" ref="E83:E99" si="67">B83*C83*(D83*0.001)</f>
        <v>0.14031630478003712</v>
      </c>
      <c r="F83" s="77">
        <f t="shared" ref="F83:F99" si="68">E83*$E$74</f>
        <v>258.18200079526832</v>
      </c>
      <c r="G83" s="40"/>
      <c r="H83" s="169">
        <v>3</v>
      </c>
      <c r="I83" s="37">
        <f>'Blade design'!C27-'Blade design'!C26</f>
        <v>2.4729999999999999</v>
      </c>
      <c r="J83" s="40">
        <f>'Blade design'!$H$26</f>
        <v>0.53400000000000003</v>
      </c>
      <c r="K83" s="206">
        <f>'Blade design'!I27</f>
        <v>40.869222829901716</v>
      </c>
      <c r="L83" s="40">
        <f t="shared" ref="L83:L99" si="69">I83*J83*(K83*0.001)</f>
        <v>5.3971160023157258E-2</v>
      </c>
      <c r="M83" s="77">
        <f t="shared" ref="M83:M99" si="70">L83*$E$75</f>
        <v>80.956740034735887</v>
      </c>
      <c r="N83" s="40"/>
      <c r="O83" s="169">
        <v>3</v>
      </c>
      <c r="P83" s="37">
        <f>'Blade design'!C50-'Blade design'!C49</f>
        <v>2.4729999999999999</v>
      </c>
      <c r="Q83" s="40">
        <f>'Blade design'!$H$49</f>
        <v>0.53400000000000003</v>
      </c>
      <c r="R83" s="206">
        <f>'Blade design'!I50</f>
        <v>69.270882025803587</v>
      </c>
      <c r="S83" s="40">
        <f t="shared" ref="S83:S99" si="71">P83*Q83*(R83*0.001)</f>
        <v>9.1477879927399752E-2</v>
      </c>
      <c r="T83" s="77">
        <f t="shared" ref="T83:T99" si="72">S83*$E$76</f>
        <v>157.9518060079769</v>
      </c>
      <c r="U83" s="40"/>
    </row>
    <row r="84" spans="1:21" ht="14" customHeight="1" x14ac:dyDescent="0.3">
      <c r="A84" s="169">
        <v>4</v>
      </c>
      <c r="B84" s="37">
        <f>'Blade design'!C5</f>
        <v>6.1820000000000004</v>
      </c>
      <c r="C84" s="37">
        <f>'Blade design'!$H$3</f>
        <v>0.53400000000000003</v>
      </c>
      <c r="D84" s="206">
        <f>'Blade design'!I5</f>
        <v>88.217377469667142</v>
      </c>
      <c r="E84" s="40">
        <f t="shared" si="67"/>
        <v>0.29122214789433554</v>
      </c>
      <c r="F84" s="77">
        <f t="shared" si="68"/>
        <v>535.84875212557733</v>
      </c>
      <c r="G84" s="40"/>
      <c r="H84" s="169">
        <v>4</v>
      </c>
      <c r="I84" s="37">
        <f>'Blade design'!C28-'Blade design'!C27</f>
        <v>2.4730000000000003</v>
      </c>
      <c r="J84" s="40">
        <f>'Blade design'!$H$26</f>
        <v>0.53400000000000003</v>
      </c>
      <c r="K84" s="206">
        <f>'Blade design'!I28</f>
        <v>34.258143629726064</v>
      </c>
      <c r="L84" s="40">
        <f t="shared" si="69"/>
        <v>4.5240687830830913E-2</v>
      </c>
      <c r="M84" s="77">
        <f t="shared" si="70"/>
        <v>67.861031746246368</v>
      </c>
      <c r="N84" s="40"/>
      <c r="O84" s="169">
        <v>4</v>
      </c>
      <c r="P84" s="37">
        <f>'Blade design'!C51-'Blade design'!C50</f>
        <v>2.4730000000000003</v>
      </c>
      <c r="Q84" s="40">
        <f>'Blade design'!$H$49</f>
        <v>0.53400000000000003</v>
      </c>
      <c r="R84" s="206">
        <f>'Blade design'!I51</f>
        <v>57.833613103295924</v>
      </c>
      <c r="S84" s="40">
        <f t="shared" si="71"/>
        <v>7.6374028459176749E-2</v>
      </c>
      <c r="T84" s="77">
        <f t="shared" si="72"/>
        <v>131.87248913951183</v>
      </c>
      <c r="U84" s="40"/>
    </row>
    <row r="85" spans="1:21" ht="14" customHeight="1" x14ac:dyDescent="0.3">
      <c r="A85" s="169">
        <v>5</v>
      </c>
      <c r="B85" s="37">
        <f>'Blade design'!C6-'Blade design'!C5</f>
        <v>3.0909999999999993</v>
      </c>
      <c r="C85" s="37">
        <f>'Blade design'!$H$3</f>
        <v>0.53400000000000003</v>
      </c>
      <c r="D85" s="206">
        <f>'Blade design'!I6</f>
        <v>231.30159553765517</v>
      </c>
      <c r="E85" s="40">
        <f t="shared" si="67"/>
        <v>0.38178502578488033</v>
      </c>
      <c r="F85" s="77">
        <f t="shared" si="68"/>
        <v>702.48444744417975</v>
      </c>
      <c r="G85" s="40"/>
      <c r="H85" s="169">
        <v>5</v>
      </c>
      <c r="I85" s="37">
        <f>'Blade design'!C29-'Blade design'!C28</f>
        <v>3.0909999999999993</v>
      </c>
      <c r="J85" s="40">
        <f>'Blade design'!$H$26</f>
        <v>0.53400000000000003</v>
      </c>
      <c r="K85" s="206">
        <f>'Blade design'!I29</f>
        <v>73.329310475826489</v>
      </c>
      <c r="L85" s="40">
        <f t="shared" si="69"/>
        <v>0.12103691989553632</v>
      </c>
      <c r="M85" s="77">
        <f t="shared" si="70"/>
        <v>181.55537984330448</v>
      </c>
      <c r="N85" s="40"/>
      <c r="O85" s="169">
        <v>5</v>
      </c>
      <c r="P85" s="37">
        <f>'Blade design'!C52-'Blade design'!C51</f>
        <v>3.0909999999999993</v>
      </c>
      <c r="Q85" s="40">
        <f>'Blade design'!$H$49</f>
        <v>0.53400000000000003</v>
      </c>
      <c r="R85" s="206">
        <f>'Blade design'!I52</f>
        <v>132.5134740291644</v>
      </c>
      <c r="S85" s="40">
        <f t="shared" si="71"/>
        <v>0.21872594515169455</v>
      </c>
      <c r="T85" s="77">
        <f t="shared" si="72"/>
        <v>377.66679862859257</v>
      </c>
      <c r="U85" s="40"/>
    </row>
    <row r="86" spans="1:21" ht="14" customHeight="1" x14ac:dyDescent="0.3">
      <c r="A86" s="169">
        <v>6</v>
      </c>
      <c r="B86" s="37">
        <f>'Blade design'!C7</f>
        <v>12.983000000000001</v>
      </c>
      <c r="C86" s="37">
        <f>'Blade design'!$H$3</f>
        <v>0.53400000000000003</v>
      </c>
      <c r="D86" s="206">
        <f>'Blade design'!I7</f>
        <v>236.34257558650876</v>
      </c>
      <c r="E86" s="40">
        <f t="shared" si="67"/>
        <v>1.6385446418203695</v>
      </c>
      <c r="F86" s="77">
        <f t="shared" si="68"/>
        <v>3014.9221409494799</v>
      </c>
      <c r="G86" s="40"/>
      <c r="H86" s="169">
        <v>6</v>
      </c>
      <c r="I86" s="37">
        <f>'Blade design'!C30-'Blade design'!C29</f>
        <v>3.7100000000000009</v>
      </c>
      <c r="J86" s="40">
        <f>'Blade design'!$H$26</f>
        <v>0.53400000000000003</v>
      </c>
      <c r="K86" s="206">
        <f>'Blade design'!I30</f>
        <v>71.141141822787816</v>
      </c>
      <c r="L86" s="40">
        <f t="shared" si="69"/>
        <v>0.14094056171079788</v>
      </c>
      <c r="M86" s="77">
        <f t="shared" si="70"/>
        <v>211.41084256619683</v>
      </c>
      <c r="N86" s="40"/>
      <c r="O86" s="169">
        <v>6</v>
      </c>
      <c r="P86" s="37">
        <f>'Blade design'!C53-'Blade design'!C52</f>
        <v>3.7100000000000009</v>
      </c>
      <c r="Q86" s="40">
        <f>'Blade design'!$H$49</f>
        <v>0.53400000000000003</v>
      </c>
      <c r="R86" s="206">
        <f>'Blade design'!I53</f>
        <v>130.04331756106336</v>
      </c>
      <c r="S86" s="40">
        <f t="shared" si="71"/>
        <v>0.25763401815292514</v>
      </c>
      <c r="T86" s="77">
        <f t="shared" si="72"/>
        <v>444.84807134405071</v>
      </c>
      <c r="U86" s="40"/>
    </row>
    <row r="87" spans="1:21" ht="14" customHeight="1" x14ac:dyDescent="0.3">
      <c r="A87" s="169">
        <v>7</v>
      </c>
      <c r="B87" s="37">
        <f>'Blade design'!C8-'Blade design'!C7</f>
        <v>3.7089999999999996</v>
      </c>
      <c r="C87" s="37">
        <f>'Blade design'!$H$3</f>
        <v>0.53400000000000003</v>
      </c>
      <c r="D87" s="206">
        <f>'Blade design'!I8</f>
        <v>193.73750890358869</v>
      </c>
      <c r="E87" s="40">
        <f t="shared" si="67"/>
        <v>0.38371767255950118</v>
      </c>
      <c r="F87" s="77">
        <f t="shared" si="68"/>
        <v>706.04051750948213</v>
      </c>
      <c r="G87" s="40"/>
      <c r="H87" s="169">
        <v>7</v>
      </c>
      <c r="I87" s="37">
        <f>'Blade design'!C31-'Blade design'!C30</f>
        <v>3.7089999999999996</v>
      </c>
      <c r="J87" s="40">
        <f>'Blade design'!$H$26</f>
        <v>0.53400000000000003</v>
      </c>
      <c r="K87" s="206">
        <f>'Blade design'!I31</f>
        <v>61.653408787649376</v>
      </c>
      <c r="L87" s="40">
        <f t="shared" si="69"/>
        <v>0.12211111136527107</v>
      </c>
      <c r="M87" s="77">
        <f t="shared" si="70"/>
        <v>183.1666670479066</v>
      </c>
      <c r="N87" s="40"/>
      <c r="O87" s="169">
        <v>7</v>
      </c>
      <c r="P87" s="37">
        <f>'Blade design'!C54-'Blade design'!C53</f>
        <v>3.7089999999999996</v>
      </c>
      <c r="Q87" s="40">
        <f>'Blade design'!$H$49</f>
        <v>0.53400000000000003</v>
      </c>
      <c r="R87" s="206">
        <f>'Blade design'!I54</f>
        <v>111.31000828499667</v>
      </c>
      <c r="S87" s="40">
        <f t="shared" si="71"/>
        <v>0.22046127026931409</v>
      </c>
      <c r="T87" s="77">
        <f t="shared" si="72"/>
        <v>380.66312666501562</v>
      </c>
      <c r="U87" s="40"/>
    </row>
    <row r="88" spans="1:21" ht="14" customHeight="1" x14ac:dyDescent="0.3">
      <c r="A88" s="169">
        <v>8</v>
      </c>
      <c r="B88" s="37">
        <f>'Blade design'!C9</f>
        <v>20.401</v>
      </c>
      <c r="C88" s="37">
        <f>'Blade design'!$H$3</f>
        <v>0.53400000000000003</v>
      </c>
      <c r="D88" s="206">
        <f>'Blade design'!I9</f>
        <v>252.30363470283774</v>
      </c>
      <c r="E88" s="40">
        <f t="shared" si="67"/>
        <v>2.7486296051397647</v>
      </c>
      <c r="F88" s="77">
        <f t="shared" si="68"/>
        <v>5057.4784734571667</v>
      </c>
      <c r="G88" s="40"/>
      <c r="H88" s="169">
        <v>8</v>
      </c>
      <c r="I88" s="37">
        <f>'Blade design'!C32-'Blade design'!C31</f>
        <v>3.7089999999999996</v>
      </c>
      <c r="J88" s="40">
        <f>'Blade design'!$H$26</f>
        <v>0.53400000000000003</v>
      </c>
      <c r="K88" s="206">
        <f>'Blade design'!I32</f>
        <v>63.826328212320846</v>
      </c>
      <c r="L88" s="40">
        <f t="shared" si="69"/>
        <v>0.12641480861529192</v>
      </c>
      <c r="M88" s="77">
        <f t="shared" si="70"/>
        <v>189.62221292293788</v>
      </c>
      <c r="N88" s="40"/>
      <c r="O88" s="169">
        <v>8</v>
      </c>
      <c r="P88" s="37">
        <f>'Blade design'!C55-'Blade design'!C54</f>
        <v>3.7089999999999996</v>
      </c>
      <c r="Q88" s="40">
        <f>'Blade design'!$H$49</f>
        <v>0.53400000000000003</v>
      </c>
      <c r="R88" s="206">
        <f>'Blade design'!I55</f>
        <v>119.27498545164636</v>
      </c>
      <c r="S88" s="40">
        <f t="shared" si="71"/>
        <v>0.23623675183544346</v>
      </c>
      <c r="T88" s="77">
        <f t="shared" si="72"/>
        <v>407.90212483586566</v>
      </c>
      <c r="U88" s="40"/>
    </row>
    <row r="89" spans="1:21" ht="14" customHeight="1" x14ac:dyDescent="0.3">
      <c r="A89" s="169">
        <v>9</v>
      </c>
      <c r="B89" s="37">
        <f>'Blade design'!C10-'Blade design'!C9</f>
        <v>3.7100000000000009</v>
      </c>
      <c r="C89" s="37">
        <f>'Blade design'!$H$3</f>
        <v>0.53400000000000003</v>
      </c>
      <c r="D89" s="206" t="e">
        <f>'Blade design'!I10</f>
        <v>#NUM!</v>
      </c>
      <c r="E89" s="40" t="e">
        <f t="shared" si="67"/>
        <v>#NUM!</v>
      </c>
      <c r="F89" s="77" t="e">
        <f t="shared" si="68"/>
        <v>#NUM!</v>
      </c>
      <c r="G89" s="40"/>
      <c r="H89" s="169">
        <v>9</v>
      </c>
      <c r="I89" s="37">
        <f>'Blade design'!C33-'Blade design'!C32</f>
        <v>3.7100000000000009</v>
      </c>
      <c r="J89" s="40">
        <f>'Blade design'!$H$26</f>
        <v>0.53400000000000003</v>
      </c>
      <c r="K89" s="206">
        <f>'Blade design'!I33</f>
        <v>68.07025689217113</v>
      </c>
      <c r="L89" s="40">
        <f t="shared" si="69"/>
        <v>0.13485670873935596</v>
      </c>
      <c r="M89" s="77">
        <f t="shared" si="70"/>
        <v>202.28506310903393</v>
      </c>
      <c r="N89" s="40"/>
      <c r="O89" s="169">
        <v>9</v>
      </c>
      <c r="P89" s="37">
        <f>'Blade design'!C56-'Blade design'!C55</f>
        <v>3.7100000000000009</v>
      </c>
      <c r="Q89" s="40">
        <f>'Blade design'!$H$49</f>
        <v>0.53400000000000003</v>
      </c>
      <c r="R89" s="206">
        <f>'Blade design'!I56</f>
        <v>139.12142876865468</v>
      </c>
      <c r="S89" s="40">
        <f t="shared" si="71"/>
        <v>0.27561902739073263</v>
      </c>
      <c r="T89" s="77">
        <f t="shared" si="72"/>
        <v>475.90218729466494</v>
      </c>
      <c r="U89" s="40"/>
    </row>
    <row r="90" spans="1:21" ht="14" customHeight="1" x14ac:dyDescent="0.3">
      <c r="A90" s="169">
        <v>10</v>
      </c>
      <c r="B90" s="37">
        <f>'Blade design'!C11</f>
        <v>27.82</v>
      </c>
      <c r="C90" s="37">
        <f>'Blade design'!$H$3</f>
        <v>0.53400000000000003</v>
      </c>
      <c r="D90" s="206" t="e">
        <f>'Blade design'!I11</f>
        <v>#NUM!</v>
      </c>
      <c r="E90" s="40" t="e">
        <f t="shared" si="67"/>
        <v>#NUM!</v>
      </c>
      <c r="F90" s="77" t="e">
        <f t="shared" si="68"/>
        <v>#NUM!</v>
      </c>
      <c r="G90" s="40"/>
      <c r="H90" s="169">
        <v>10</v>
      </c>
      <c r="I90" s="37">
        <f>'Blade design'!C34-'Blade design'!C33</f>
        <v>3.7089999999999996</v>
      </c>
      <c r="J90" s="40">
        <f>'Blade design'!$H$26</f>
        <v>0.53400000000000003</v>
      </c>
      <c r="K90" s="206">
        <f>'Blade design'!I34</f>
        <v>55.131698500890614</v>
      </c>
      <c r="L90" s="40">
        <f t="shared" si="69"/>
        <v>0.10919417284105495</v>
      </c>
      <c r="M90" s="77">
        <f t="shared" si="70"/>
        <v>163.79125926158244</v>
      </c>
      <c r="N90" s="40"/>
      <c r="O90" s="169">
        <v>10</v>
      </c>
      <c r="P90" s="37">
        <f>'Blade design'!C57-'Blade design'!C56</f>
        <v>3.7089999999999996</v>
      </c>
      <c r="Q90" s="40">
        <f>'Blade design'!$H$49</f>
        <v>0.53400000000000003</v>
      </c>
      <c r="R90" s="206">
        <f>'Blade design'!I57</f>
        <v>106.88943305540161</v>
      </c>
      <c r="S90" s="40">
        <f t="shared" si="71"/>
        <v>0.21170585244612677</v>
      </c>
      <c r="T90" s="77">
        <f t="shared" si="72"/>
        <v>365.54543855697887</v>
      </c>
      <c r="U90" s="40"/>
    </row>
    <row r="91" spans="1:21" ht="14" customHeight="1" x14ac:dyDescent="0.3">
      <c r="A91" s="169">
        <v>11</v>
      </c>
      <c r="B91" s="37">
        <f>'Blade design'!C12-'Blade design'!C11</f>
        <v>3.7089999999999996</v>
      </c>
      <c r="C91" s="37">
        <f>'Blade design'!$H$3</f>
        <v>0.53400000000000003</v>
      </c>
      <c r="D91" s="206" t="e">
        <f>'Blade design'!I12</f>
        <v>#NUM!</v>
      </c>
      <c r="E91" s="40" t="e">
        <f t="shared" si="67"/>
        <v>#NUM!</v>
      </c>
      <c r="F91" s="77" t="e">
        <f t="shared" si="68"/>
        <v>#NUM!</v>
      </c>
      <c r="G91" s="40"/>
      <c r="H91" s="169">
        <v>11</v>
      </c>
      <c r="I91" s="37">
        <f>'Blade design'!C35-'Blade design'!C34</f>
        <v>3.7089999999999996</v>
      </c>
      <c r="J91" s="40">
        <f>'Blade design'!$H$26</f>
        <v>0.53400000000000003</v>
      </c>
      <c r="K91" s="206">
        <f>'Blade design'!I35</f>
        <v>54.361868098487811</v>
      </c>
      <c r="L91" s="40">
        <f t="shared" si="69"/>
        <v>0.10766944212707354</v>
      </c>
      <c r="M91" s="77">
        <f t="shared" si="70"/>
        <v>161.50416319061031</v>
      </c>
      <c r="N91" s="40"/>
      <c r="O91" s="169">
        <v>11</v>
      </c>
      <c r="P91" s="37">
        <f>'Blade design'!C58-'Blade design'!C57</f>
        <v>3.7089999999999996</v>
      </c>
      <c r="Q91" s="40">
        <f>'Blade design'!$H$49</f>
        <v>0.53400000000000003</v>
      </c>
      <c r="R91" s="206">
        <f>'Blade design'!I58</f>
        <v>116.82780635836932</v>
      </c>
      <c r="S91" s="40">
        <f t="shared" si="71"/>
        <v>0.2313898542402244</v>
      </c>
      <c r="T91" s="77">
        <f t="shared" si="72"/>
        <v>399.53314832145412</v>
      </c>
      <c r="U91" s="40"/>
    </row>
    <row r="92" spans="1:21" ht="14" customHeight="1" x14ac:dyDescent="0.3">
      <c r="A92" s="169">
        <v>12</v>
      </c>
      <c r="B92" s="37">
        <f>'Blade design'!C13</f>
        <v>35.238999999999997</v>
      </c>
      <c r="C92" s="37">
        <f>'Blade design'!$H$3</f>
        <v>0.53400000000000003</v>
      </c>
      <c r="D92" s="206" t="e">
        <f>'Blade design'!I13</f>
        <v>#NUM!</v>
      </c>
      <c r="E92" s="40" t="e">
        <f t="shared" si="67"/>
        <v>#NUM!</v>
      </c>
      <c r="F92" s="77" t="e">
        <f t="shared" si="68"/>
        <v>#NUM!</v>
      </c>
      <c r="G92" s="40"/>
      <c r="H92" s="169">
        <v>12</v>
      </c>
      <c r="I92" s="37">
        <f>'Blade design'!C36-'Blade design'!C35</f>
        <v>3.7099999999999973</v>
      </c>
      <c r="J92" s="40">
        <f>'Blade design'!$H$26</f>
        <v>0.53400000000000003</v>
      </c>
      <c r="K92" s="206">
        <f>'Blade design'!I36</f>
        <v>39.523229154058406</v>
      </c>
      <c r="L92" s="40">
        <f t="shared" si="69"/>
        <v>7.8301050206271205E-2</v>
      </c>
      <c r="M92" s="77">
        <f t="shared" si="70"/>
        <v>117.45157530940681</v>
      </c>
      <c r="N92" s="40"/>
      <c r="O92" s="169">
        <v>12</v>
      </c>
      <c r="P92" s="37">
        <f>'Blade design'!C59-'Blade design'!C58</f>
        <v>3.7099999999999973</v>
      </c>
      <c r="Q92" s="40">
        <f>'Blade design'!$H$49</f>
        <v>0.53400000000000003</v>
      </c>
      <c r="R92" s="206">
        <f>'Blade design'!I59</f>
        <v>76.25238936944595</v>
      </c>
      <c r="S92" s="40">
        <f t="shared" si="71"/>
        <v>0.15106665867538405</v>
      </c>
      <c r="T92" s="77">
        <f t="shared" si="72"/>
        <v>260.84176397949642</v>
      </c>
      <c r="U92" s="40"/>
    </row>
    <row r="93" spans="1:21" ht="14" customHeight="1" x14ac:dyDescent="0.3">
      <c r="A93" s="169">
        <v>13</v>
      </c>
      <c r="B93" s="37">
        <f>'Blade design'!C14-'Blade design'!C13</f>
        <v>3.7090000000000032</v>
      </c>
      <c r="C93" s="37">
        <f>'Blade design'!$H$3</f>
        <v>0.53400000000000003</v>
      </c>
      <c r="D93" s="206" t="e">
        <f>'Blade design'!I14</f>
        <v>#NUM!</v>
      </c>
      <c r="E93" s="40" t="e">
        <f t="shared" si="67"/>
        <v>#NUM!</v>
      </c>
      <c r="F93" s="77" t="e">
        <f t="shared" si="68"/>
        <v>#NUM!</v>
      </c>
      <c r="G93" s="40"/>
      <c r="H93" s="169">
        <v>13</v>
      </c>
      <c r="I93" s="37">
        <f>'Blade design'!C37-'Blade design'!C36</f>
        <v>3.7090000000000032</v>
      </c>
      <c r="J93" s="40">
        <f>'Blade design'!$H$26</f>
        <v>0.53400000000000003</v>
      </c>
      <c r="K93" s="206">
        <f>'Blade design'!I37</f>
        <v>32.879090804611842</v>
      </c>
      <c r="L93" s="40">
        <f t="shared" si="69"/>
        <v>6.5120524522159107E-2</v>
      </c>
      <c r="M93" s="77">
        <f t="shared" si="70"/>
        <v>97.680786783238659</v>
      </c>
      <c r="N93" s="40"/>
      <c r="O93" s="169">
        <v>13</v>
      </c>
      <c r="P93" s="37">
        <f>'Blade design'!C60-'Blade design'!C59</f>
        <v>3.7090000000000032</v>
      </c>
      <c r="Q93" s="40">
        <f>'Blade design'!$H$49</f>
        <v>0.53400000000000003</v>
      </c>
      <c r="R93" s="206">
        <f>'Blade design'!I60</f>
        <v>64.336323559556135</v>
      </c>
      <c r="S93" s="40">
        <f t="shared" si="71"/>
        <v>0.12742490845999838</v>
      </c>
      <c r="T93" s="77">
        <f t="shared" si="72"/>
        <v>220.02034194093051</v>
      </c>
      <c r="U93" s="40"/>
    </row>
    <row r="94" spans="1:21" ht="14" customHeight="1" x14ac:dyDescent="0.3">
      <c r="A94" s="169">
        <v>14</v>
      </c>
      <c r="B94" s="37">
        <f>'Blade design'!C15</f>
        <v>42.656999999999996</v>
      </c>
      <c r="C94" s="37">
        <f>'Blade design'!$H$3</f>
        <v>0.53400000000000003</v>
      </c>
      <c r="D94" s="206">
        <f>'Blade design'!I15</f>
        <v>62.6464538164091</v>
      </c>
      <c r="E94" s="40">
        <f t="shared" si="67"/>
        <v>1.4270134227584645</v>
      </c>
      <c r="F94" s="77">
        <f t="shared" si="68"/>
        <v>2625.7046978755748</v>
      </c>
      <c r="G94" s="40"/>
      <c r="H94" s="169">
        <v>14</v>
      </c>
      <c r="I94" s="37">
        <f>'Blade design'!C38-'Blade design'!C37</f>
        <v>3.7089999999999961</v>
      </c>
      <c r="J94" s="40">
        <f>'Blade design'!$H$26</f>
        <v>0.53400000000000003</v>
      </c>
      <c r="K94" s="206">
        <f>'Blade design'!I38</f>
        <v>19.831612727749064</v>
      </c>
      <c r="L94" s="40">
        <f t="shared" si="69"/>
        <v>3.9278611158256128E-2</v>
      </c>
      <c r="M94" s="77">
        <f t="shared" si="70"/>
        <v>58.917916737384189</v>
      </c>
      <c r="N94" s="40"/>
      <c r="O94" s="169">
        <v>14</v>
      </c>
      <c r="P94" s="37">
        <f>'Blade design'!C61-'Blade design'!C60</f>
        <v>3.7089999999999961</v>
      </c>
      <c r="Q94" s="40">
        <f>'Blade design'!$H$49</f>
        <v>0.53400000000000003</v>
      </c>
      <c r="R94" s="206">
        <f>'Blade design'!I61</f>
        <v>35.850569851364256</v>
      </c>
      <c r="S94" s="40">
        <f t="shared" si="71"/>
        <v>7.1005853751031078E-2</v>
      </c>
      <c r="T94" s="77">
        <f t="shared" si="72"/>
        <v>122.60344081011365</v>
      </c>
      <c r="U94" s="40"/>
    </row>
    <row r="95" spans="1:21" ht="14" customHeight="1" x14ac:dyDescent="0.3">
      <c r="A95" s="169">
        <v>15</v>
      </c>
      <c r="B95" s="37">
        <f>'Blade design'!C16-'Blade design'!C15</f>
        <v>3.7100000000000009</v>
      </c>
      <c r="C95" s="37">
        <f>'Blade design'!$H$3</f>
        <v>0.53400000000000003</v>
      </c>
      <c r="D95" s="206">
        <f>'Blade design'!I16</f>
        <v>27.329040442036256</v>
      </c>
      <c r="E95" s="40">
        <f t="shared" si="67"/>
        <v>5.4142655181335729E-2</v>
      </c>
      <c r="F95" s="77">
        <f t="shared" si="68"/>
        <v>99.622485533657738</v>
      </c>
      <c r="G95" s="40"/>
      <c r="H95" s="169">
        <v>15</v>
      </c>
      <c r="I95" s="37">
        <f>'Blade design'!C39-'Blade design'!C38</f>
        <v>3.7100000000000009</v>
      </c>
      <c r="J95" s="40">
        <f>'Blade design'!$H$26</f>
        <v>0.53400000000000003</v>
      </c>
      <c r="K95" s="206">
        <f>'Blade design'!I39</f>
        <v>9.9581187007931593</v>
      </c>
      <c r="L95" s="40">
        <f t="shared" si="69"/>
        <v>1.9728427282889368E-2</v>
      </c>
      <c r="M95" s="77">
        <f t="shared" si="70"/>
        <v>29.592640924334052</v>
      </c>
      <c r="N95" s="40"/>
      <c r="O95" s="169">
        <v>15</v>
      </c>
      <c r="P95" s="37">
        <f>'Blade design'!C62-'Blade design'!C61</f>
        <v>3.7100000000000009</v>
      </c>
      <c r="Q95" s="40">
        <f>'Blade design'!$H$49</f>
        <v>0.53400000000000003</v>
      </c>
      <c r="R95" s="206">
        <f>'Blade design'!I62</f>
        <v>17.240518433004894</v>
      </c>
      <c r="S95" s="40">
        <f t="shared" si="71"/>
        <v>3.4155880688363331E-2</v>
      </c>
      <c r="T95" s="77">
        <f t="shared" si="72"/>
        <v>58.975820655240682</v>
      </c>
      <c r="U95" s="40"/>
    </row>
    <row r="96" spans="1:21" ht="14" customHeight="1" x14ac:dyDescent="0.3">
      <c r="A96" s="169">
        <v>16</v>
      </c>
      <c r="B96" s="37">
        <f>'Blade design'!C17</f>
        <v>49.457999999999998</v>
      </c>
      <c r="C96" s="37">
        <f>'Blade design'!$H$3</f>
        <v>0.53400000000000003</v>
      </c>
      <c r="D96" s="206">
        <f>'Blade design'!I17</f>
        <v>10.570089583311372</v>
      </c>
      <c r="E96" s="40">
        <f t="shared" si="67"/>
        <v>0.27916211198649504</v>
      </c>
      <c r="F96" s="77">
        <f t="shared" si="68"/>
        <v>513.65828605515082</v>
      </c>
      <c r="G96" s="40"/>
      <c r="H96" s="169">
        <v>16</v>
      </c>
      <c r="I96" s="37">
        <f>'Blade design'!C40-'Blade design'!C39</f>
        <v>3.0910000000000011</v>
      </c>
      <c r="J96" s="40">
        <f>'Blade design'!$H$26</f>
        <v>0.53400000000000003</v>
      </c>
      <c r="K96" s="206">
        <f>'Blade design'!I40</f>
        <v>4.0793415476075578</v>
      </c>
      <c r="L96" s="40">
        <f t="shared" si="69"/>
        <v>6.7333366824317512E-3</v>
      </c>
      <c r="M96" s="77">
        <f t="shared" si="70"/>
        <v>10.100005023647627</v>
      </c>
      <c r="N96" s="40"/>
      <c r="O96" s="169">
        <v>16</v>
      </c>
      <c r="P96" s="37">
        <f>'Blade design'!C63-'Blade design'!C62</f>
        <v>3.0910000000000011</v>
      </c>
      <c r="Q96" s="40">
        <f>'Blade design'!$H$49</f>
        <v>0.53400000000000003</v>
      </c>
      <c r="R96" s="206">
        <f>'Blade design'!I63</f>
        <v>6.9045982494946969</v>
      </c>
      <c r="S96" s="40">
        <f t="shared" si="71"/>
        <v>1.1396688443026454E-2</v>
      </c>
      <c r="T96" s="77">
        <f t="shared" si="72"/>
        <v>19.678282044959008</v>
      </c>
      <c r="U96" s="40"/>
    </row>
    <row r="97" spans="1:21" ht="14" customHeight="1" x14ac:dyDescent="0.3">
      <c r="A97" s="169">
        <v>17</v>
      </c>
      <c r="B97" s="37">
        <f>'Blade design'!C18-'Blade design'!C17</f>
        <v>2.472999999999999</v>
      </c>
      <c r="C97" s="37">
        <f>'Blade design'!$H$3</f>
        <v>0.53400000000000003</v>
      </c>
      <c r="D97" s="206">
        <f>'Blade design'!I18</f>
        <v>3.1376956766876494</v>
      </c>
      <c r="E97" s="40">
        <f t="shared" si="67"/>
        <v>4.1435844321115276E-3</v>
      </c>
      <c r="F97" s="77">
        <f t="shared" si="68"/>
        <v>7.6241953550852104</v>
      </c>
      <c r="G97" s="40"/>
      <c r="H97" s="169">
        <v>17</v>
      </c>
      <c r="I97" s="37">
        <f>'Blade design'!C41-'Blade design'!C40</f>
        <v>2.472999999999999</v>
      </c>
      <c r="J97" s="40">
        <f>'Blade design'!$H$26</f>
        <v>0.53400000000000003</v>
      </c>
      <c r="K97" s="206">
        <f>'Blade design'!I41</f>
        <v>1.2409578127418495</v>
      </c>
      <c r="L97" s="40">
        <f t="shared" si="69"/>
        <v>1.6387865502662565E-3</v>
      </c>
      <c r="M97" s="77">
        <f t="shared" si="70"/>
        <v>2.4581798253993847</v>
      </c>
      <c r="N97" s="40"/>
      <c r="O97" s="169">
        <v>17</v>
      </c>
      <c r="P97" s="37">
        <f>'Blade design'!C64-'Blade design'!C63</f>
        <v>2.472999999999999</v>
      </c>
      <c r="Q97" s="40">
        <f>'Blade design'!$H$49</f>
        <v>0.53400000000000003</v>
      </c>
      <c r="R97" s="206">
        <f>'Blade design'!I64</f>
        <v>2.0785904734009586</v>
      </c>
      <c r="S97" s="40">
        <f t="shared" si="71"/>
        <v>2.7449491645447836E-3</v>
      </c>
      <c r="T97" s="77">
        <f t="shared" si="72"/>
        <v>4.7396122241139924</v>
      </c>
      <c r="U97" s="40"/>
    </row>
    <row r="98" spans="1:21" ht="14" customHeight="1" x14ac:dyDescent="0.3">
      <c r="A98" s="169">
        <v>18</v>
      </c>
      <c r="B98" s="37">
        <f>'Blade design'!C19</f>
        <v>54.404000000000003</v>
      </c>
      <c r="C98" s="37">
        <f>'Blade design'!$H$3</f>
        <v>0.53400000000000003</v>
      </c>
      <c r="D98" s="206">
        <f>'Blade design'!I19</f>
        <v>0.22457410521771193</v>
      </c>
      <c r="E98" s="40">
        <f t="shared" si="67"/>
        <v>6.5242676172211902E-3</v>
      </c>
      <c r="F98" s="77">
        <f t="shared" si="68"/>
        <v>12.004652415686991</v>
      </c>
      <c r="G98" s="40"/>
      <c r="H98" s="169">
        <v>18</v>
      </c>
      <c r="I98" s="37">
        <f>'Blade design'!C42-'Blade design'!C41</f>
        <v>2.4730000000000061</v>
      </c>
      <c r="J98" s="40">
        <f>'Blade design'!$H$26</f>
        <v>0.53400000000000003</v>
      </c>
      <c r="K98" s="206">
        <f>'Blade design'!I42</f>
        <v>8.9724736556249282E-2</v>
      </c>
      <c r="L98" s="40">
        <f t="shared" si="69"/>
        <v>1.1848887205092509E-4</v>
      </c>
      <c r="M98" s="77">
        <f t="shared" si="70"/>
        <v>0.17773330807638762</v>
      </c>
      <c r="N98" s="40"/>
      <c r="O98" s="169">
        <v>18</v>
      </c>
      <c r="P98" s="37">
        <f>'Blade design'!C65-'Blade design'!C64</f>
        <v>2.4730000000000061</v>
      </c>
      <c r="Q98" s="40">
        <f>'Blade design'!$H$49</f>
        <v>0.53400000000000003</v>
      </c>
      <c r="R98" s="206">
        <f>'Blade design'!I65</f>
        <v>0.14961883445054683</v>
      </c>
      <c r="S98" s="40">
        <f t="shared" si="71"/>
        <v>1.9758393963637254E-4</v>
      </c>
      <c r="T98" s="77">
        <f t="shared" si="72"/>
        <v>0.34116160243880322</v>
      </c>
      <c r="U98" s="40"/>
    </row>
    <row r="99" spans="1:21" ht="14" customHeight="1" thickBot="1" x14ac:dyDescent="0.35">
      <c r="A99" s="184">
        <v>19</v>
      </c>
      <c r="B99" s="46">
        <f>'Blade design'!C20-'Blade design'!C19</f>
        <v>1.2359999999999971</v>
      </c>
      <c r="C99" s="46">
        <f>'Blade design'!$H$3</f>
        <v>0.53400000000000003</v>
      </c>
      <c r="D99" s="207">
        <f>'Blade design'!I20</f>
        <v>1.3056251031940607E-6</v>
      </c>
      <c r="E99" s="57">
        <f t="shared" si="67"/>
        <v>8.6174390311055486E-10</v>
      </c>
      <c r="F99" s="79">
        <f t="shared" si="68"/>
        <v>1.5856087817234209E-6</v>
      </c>
      <c r="G99" s="40"/>
      <c r="H99" s="184">
        <v>19</v>
      </c>
      <c r="I99" s="46">
        <f>'Blade design'!C43-'Blade design'!C42</f>
        <v>1.2359999999999971</v>
      </c>
      <c r="J99" s="57">
        <f>'Blade design'!$H$26</f>
        <v>0.53400000000000003</v>
      </c>
      <c r="K99" s="207">
        <f>'Blade design'!I43</f>
        <v>5.2225003478053257E-7</v>
      </c>
      <c r="L99" s="57">
        <f t="shared" si="69"/>
        <v>3.4469755695598548E-10</v>
      </c>
      <c r="M99" s="79">
        <f t="shared" si="70"/>
        <v>5.1704633543397821E-7</v>
      </c>
      <c r="N99" s="40"/>
      <c r="O99" s="184">
        <v>19</v>
      </c>
      <c r="P99" s="46">
        <f>'Blade design'!C66-'Blade design'!C65</f>
        <v>1.2359999999999971</v>
      </c>
      <c r="Q99" s="57">
        <f>'Blade design'!$H$49</f>
        <v>0.53400000000000003</v>
      </c>
      <c r="R99" s="207">
        <f>'Blade design'!I66</f>
        <v>8.704167354627071E-7</v>
      </c>
      <c r="S99" s="57">
        <f t="shared" si="71"/>
        <v>5.7449593540703647E-10</v>
      </c>
      <c r="T99" s="79">
        <f t="shared" si="72"/>
        <v>9.919629818028162E-7</v>
      </c>
      <c r="U99" s="40"/>
    </row>
    <row r="100" spans="1:21" ht="14" customHeight="1" x14ac:dyDescent="0.3">
      <c r="A100" s="40"/>
      <c r="B100" s="40"/>
      <c r="C100" s="40"/>
      <c r="D100" s="40"/>
      <c r="E100" s="159" t="s">
        <v>85</v>
      </c>
      <c r="F100" s="40" t="e">
        <f>SUM(F82:F99)*2</f>
        <v>#NUM!</v>
      </c>
      <c r="G100" s="40" t="s">
        <v>82</v>
      </c>
      <c r="H100" s="40"/>
      <c r="I100" s="40"/>
      <c r="J100" s="40"/>
      <c r="K100" s="40"/>
      <c r="L100" s="159" t="s">
        <v>85</v>
      </c>
      <c r="M100" s="40">
        <f>SUM(M82:M99)*2</f>
        <v>3613.7414985685805</v>
      </c>
      <c r="N100" s="40" t="s">
        <v>82</v>
      </c>
      <c r="O100" s="40"/>
      <c r="P100" s="40"/>
      <c r="Q100" s="40"/>
      <c r="R100" s="40"/>
      <c r="S100" s="159" t="s">
        <v>85</v>
      </c>
      <c r="T100" s="40">
        <f>SUM(T82:T99)*2</f>
        <v>7847.846694027241</v>
      </c>
      <c r="U100" s="40" t="s">
        <v>82</v>
      </c>
    </row>
    <row r="101" spans="1:21" ht="14" customHeight="1" x14ac:dyDescent="0.3">
      <c r="A101" s="256" t="s">
        <v>193</v>
      </c>
      <c r="B101" s="256"/>
      <c r="C101" s="256"/>
      <c r="D101" s="40"/>
      <c r="E101" s="159" t="s">
        <v>86</v>
      </c>
      <c r="F101" s="40" cm="1">
        <f t="array" ref="F101:G101">G74:H74</f>
        <v>1.87</v>
      </c>
      <c r="G101" s="40" t="str">
        <v>$/kg</v>
      </c>
      <c r="H101" s="40"/>
      <c r="I101" s="40"/>
      <c r="J101" s="40"/>
      <c r="K101" s="40"/>
      <c r="L101" s="159" t="s">
        <v>86</v>
      </c>
      <c r="M101" s="40" cm="1">
        <f t="array" ref="M101:N101">G75:H75</f>
        <v>30</v>
      </c>
      <c r="N101" s="40" t="str">
        <v>$/kg</v>
      </c>
      <c r="O101" s="40"/>
      <c r="P101" s="40"/>
      <c r="Q101" s="40"/>
      <c r="R101" s="40"/>
      <c r="S101" s="159" t="s">
        <v>86</v>
      </c>
      <c r="T101" s="40" cm="1">
        <f t="array" ref="T101:U101">G76:H76</f>
        <v>11.246666666666666</v>
      </c>
      <c r="U101" s="40" t="str">
        <v>$/kg</v>
      </c>
    </row>
    <row r="102" spans="1:21" ht="14" customHeight="1" x14ac:dyDescent="0.3">
      <c r="A102" s="40"/>
      <c r="B102" s="40"/>
      <c r="C102" s="40"/>
      <c r="D102" s="40"/>
      <c r="E102" s="159" t="s">
        <v>84</v>
      </c>
      <c r="F102" s="40" t="e">
        <f>F100*F101</f>
        <v>#NUM!</v>
      </c>
      <c r="G102" s="40" t="s">
        <v>89</v>
      </c>
      <c r="H102" s="40"/>
      <c r="I102" s="40"/>
      <c r="J102" s="40"/>
      <c r="K102" s="40"/>
      <c r="L102" s="159" t="s">
        <v>84</v>
      </c>
      <c r="M102" s="40">
        <f>M100*M101</f>
        <v>108412.24495705741</v>
      </c>
      <c r="N102" s="40" t="s">
        <v>89</v>
      </c>
      <c r="O102" s="40"/>
      <c r="P102" s="40"/>
      <c r="Q102" s="40"/>
      <c r="R102" s="40"/>
      <c r="S102" s="159" t="s">
        <v>84</v>
      </c>
      <c r="T102" s="40">
        <f>T100*T101</f>
        <v>88262.115818826365</v>
      </c>
      <c r="U102" s="40" t="s">
        <v>89</v>
      </c>
    </row>
    <row r="103" spans="1:21" ht="14" customHeight="1" x14ac:dyDescent="0.3">
      <c r="D103" s="40"/>
      <c r="E103" s="40"/>
      <c r="F103" s="206" t="e">
        <f>F102*0.8</f>
        <v>#NUM!</v>
      </c>
      <c r="G103" s="40" t="s">
        <v>192</v>
      </c>
      <c r="H103" s="40"/>
      <c r="I103" s="40"/>
      <c r="J103" s="40"/>
      <c r="K103" s="40"/>
      <c r="L103" s="40"/>
      <c r="M103" s="206">
        <f>M102*0.8</f>
        <v>86729.795965645928</v>
      </c>
      <c r="N103" s="40" t="s">
        <v>192</v>
      </c>
      <c r="O103" s="40"/>
      <c r="P103" s="40"/>
      <c r="Q103" s="40"/>
      <c r="R103" s="40"/>
      <c r="S103" s="40"/>
      <c r="T103" s="206">
        <f>T102*0.8</f>
        <v>70609.692655061095</v>
      </c>
      <c r="U103" s="40" t="s">
        <v>192</v>
      </c>
    </row>
    <row r="104" spans="1:21" ht="14" customHeight="1" x14ac:dyDescent="0.25">
      <c r="E104" s="5"/>
      <c r="F104" s="5"/>
    </row>
    <row r="105" spans="1:21" ht="14" customHeight="1" x14ac:dyDescent="0.25">
      <c r="E105" s="5"/>
      <c r="F105" s="5"/>
    </row>
    <row r="106" spans="1:21" ht="14.5" customHeight="1" x14ac:dyDescent="0.25">
      <c r="E106" s="5"/>
      <c r="F106" s="5"/>
    </row>
    <row r="107" spans="1:21" ht="14" customHeight="1" x14ac:dyDescent="0.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21" ht="20" customHeight="1" thickBot="1" x14ac:dyDescent="0.45">
      <c r="A108" s="107" t="s">
        <v>207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</row>
    <row r="109" spans="1:21" ht="14" customHeight="1" x14ac:dyDescent="0.3">
      <c r="A109" s="117" t="s">
        <v>93</v>
      </c>
      <c r="B109" s="109" t="s">
        <v>94</v>
      </c>
      <c r="C109" s="109" t="s">
        <v>208</v>
      </c>
      <c r="D109" s="110" t="s">
        <v>270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</row>
    <row r="110" spans="1:21" ht="14" customHeight="1" x14ac:dyDescent="0.3">
      <c r="A110" s="76" t="s">
        <v>90</v>
      </c>
      <c r="B110" s="40">
        <v>33.25</v>
      </c>
      <c r="C110" s="208">
        <v>24577.65</v>
      </c>
      <c r="D110" s="209">
        <v>52146.09</v>
      </c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</row>
    <row r="111" spans="1:21" ht="14" customHeight="1" x14ac:dyDescent="0.3">
      <c r="A111" s="210" t="s">
        <v>91</v>
      </c>
      <c r="B111" s="40">
        <v>75</v>
      </c>
      <c r="C111" s="208">
        <v>73638.820000000007</v>
      </c>
      <c r="D111" s="209">
        <v>154090.4</v>
      </c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</row>
    <row r="112" spans="1:21" ht="14" customHeight="1" thickBot="1" x14ac:dyDescent="0.35">
      <c r="A112" s="78" t="s">
        <v>92</v>
      </c>
      <c r="B112" s="57">
        <v>100</v>
      </c>
      <c r="C112" s="211">
        <v>327375.64</v>
      </c>
      <c r="D112" s="212">
        <v>547723.35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</row>
    <row r="113" spans="1:25" ht="20" customHeight="1" x14ac:dyDescent="0.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</row>
    <row r="114" spans="1:25" ht="14" customHeight="1" x14ac:dyDescent="0.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</row>
    <row r="115" spans="1:25" ht="14" customHeight="1" x14ac:dyDescent="0.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</row>
    <row r="116" spans="1:25" ht="14" customHeight="1" x14ac:dyDescent="0.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</row>
    <row r="117" spans="1:25" ht="14" customHeight="1" x14ac:dyDescent="0.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</row>
    <row r="118" spans="1:25" ht="14" customHeight="1" x14ac:dyDescent="0.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</row>
    <row r="119" spans="1:25" ht="14" customHeight="1" x14ac:dyDescent="0.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</row>
    <row r="120" spans="1:25" ht="14" customHeight="1" x14ac:dyDescent="0.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</row>
    <row r="121" spans="1:25" ht="14" customHeight="1" x14ac:dyDescent="0.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</row>
    <row r="122" spans="1:25" ht="14" customHeight="1" x14ac:dyDescent="0.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</row>
    <row r="123" spans="1:25" ht="14" customHeight="1" x14ac:dyDescent="0.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</row>
    <row r="124" spans="1:25" ht="14" customHeight="1" x14ac:dyDescent="0.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</row>
    <row r="125" spans="1:25" ht="14" customHeight="1" x14ac:dyDescent="0.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25" ht="14" customHeight="1" x14ac:dyDescent="0.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25" x14ac:dyDescent="0.3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x14ac:dyDescent="0.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x14ac:dyDescent="0.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x14ac:dyDescent="0.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x14ac:dyDescent="0.3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x14ac:dyDescent="0.3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x14ac:dyDescent="0.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x14ac:dyDescent="0.3">
      <c r="E134" s="40"/>
      <c r="F134" s="40"/>
    </row>
    <row r="135" spans="1:25" x14ac:dyDescent="0.3">
      <c r="E135" s="40"/>
      <c r="F135" s="40"/>
    </row>
    <row r="136" spans="1:25" x14ac:dyDescent="0.3">
      <c r="E136" s="40"/>
      <c r="F136" s="40"/>
    </row>
    <row r="137" spans="1:25" x14ac:dyDescent="0.3">
      <c r="E137" s="40"/>
      <c r="F137" s="40"/>
    </row>
    <row r="138" spans="1:25" x14ac:dyDescent="0.3">
      <c r="E138" s="40"/>
      <c r="F138" s="40"/>
    </row>
    <row r="139" spans="1:25" x14ac:dyDescent="0.3">
      <c r="E139" s="40"/>
      <c r="F139" s="40"/>
    </row>
    <row r="140" spans="1:25" x14ac:dyDescent="0.3">
      <c r="E140" s="40"/>
      <c r="F140" s="40"/>
    </row>
    <row r="141" spans="1:25" x14ac:dyDescent="0.3">
      <c r="E141" s="40"/>
      <c r="F141" s="40"/>
    </row>
    <row r="142" spans="1:25" x14ac:dyDescent="0.3">
      <c r="E142" s="40"/>
      <c r="F142" s="40"/>
    </row>
    <row r="143" spans="1:25" x14ac:dyDescent="0.3">
      <c r="E143" s="40"/>
      <c r="F143" s="40"/>
    </row>
    <row r="144" spans="1:25" x14ac:dyDescent="0.3">
      <c r="E144" s="40"/>
      <c r="F144" s="40"/>
    </row>
    <row r="145" spans="5:6" x14ac:dyDescent="0.3">
      <c r="E145" s="40"/>
      <c r="F145" s="40"/>
    </row>
    <row r="146" spans="5:6" x14ac:dyDescent="0.3">
      <c r="E146" s="40"/>
      <c r="F146" s="40"/>
    </row>
    <row r="147" spans="5:6" x14ac:dyDescent="0.3">
      <c r="E147" s="40"/>
      <c r="F147" s="40"/>
    </row>
  </sheetData>
  <mergeCells count="9">
    <mergeCell ref="A101:C101"/>
    <mergeCell ref="AB6:AF6"/>
    <mergeCell ref="AG6:AI6"/>
    <mergeCell ref="AJ6:AT6"/>
    <mergeCell ref="AU6:CA6"/>
    <mergeCell ref="A72:D72"/>
    <mergeCell ref="B73:C73"/>
    <mergeCell ref="E73:F73"/>
    <mergeCell ref="G73:H73"/>
  </mergeCells>
  <phoneticPr fontId="18" type="noConversion"/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E20-B140-4B2D-A6BE-FBDC68C8DCCF}">
  <dimension ref="A1:T57"/>
  <sheetViews>
    <sheetView zoomScale="85" zoomScaleNormal="85" workbookViewId="0">
      <selection activeCell="Q4" sqref="N1:Q4"/>
    </sheetView>
  </sheetViews>
  <sheetFormatPr defaultRowHeight="14" x14ac:dyDescent="0.3"/>
  <cols>
    <col min="1" max="1" width="38.08203125" customWidth="1"/>
    <col min="2" max="2" width="9.4140625" customWidth="1"/>
    <col min="3" max="3" width="11.58203125" customWidth="1"/>
    <col min="4" max="4" width="19.6640625" customWidth="1"/>
    <col min="9" max="9" width="9.4140625" customWidth="1"/>
    <col min="10" max="10" width="8.6640625" customWidth="1"/>
    <col min="11" max="11" width="11.83203125" customWidth="1"/>
    <col min="12" max="12" width="12.08203125" customWidth="1"/>
    <col min="13" max="13" width="12.58203125" customWidth="1"/>
    <col min="14" max="14" width="11.75" customWidth="1"/>
    <col min="15" max="16" width="11.4140625" customWidth="1"/>
  </cols>
  <sheetData>
    <row r="1" spans="1:20" ht="14.5" thickBot="1" x14ac:dyDescent="0.35">
      <c r="A1" s="252" t="s">
        <v>212</v>
      </c>
      <c r="B1" s="141"/>
      <c r="C1" s="141"/>
      <c r="D1" s="115" t="s">
        <v>214</v>
      </c>
      <c r="E1" s="141"/>
      <c r="F1" s="142"/>
      <c r="G1" s="274" t="s">
        <v>463</v>
      </c>
      <c r="H1" s="275"/>
      <c r="I1" s="124" t="s">
        <v>465</v>
      </c>
      <c r="J1" s="276" t="s">
        <v>443</v>
      </c>
      <c r="K1" s="277"/>
      <c r="L1" s="278" t="s">
        <v>84</v>
      </c>
      <c r="M1" s="275"/>
      <c r="N1" s="40"/>
      <c r="O1" s="224" t="s">
        <v>464</v>
      </c>
      <c r="P1" s="40"/>
      <c r="Q1" s="40"/>
      <c r="R1" s="40"/>
      <c r="S1" s="40"/>
      <c r="T1" s="40"/>
    </row>
    <row r="2" spans="1:20" ht="14.5" thickBot="1" x14ac:dyDescent="0.35">
      <c r="A2" s="143" t="s">
        <v>213</v>
      </c>
      <c r="B2" s="40">
        <v>79.251999999999995</v>
      </c>
      <c r="C2" s="40" t="s">
        <v>197</v>
      </c>
      <c r="D2" s="224" t="s">
        <v>216</v>
      </c>
      <c r="E2" s="40" t="s">
        <v>215</v>
      </c>
      <c r="F2" s="77"/>
      <c r="G2" s="78">
        <v>3848</v>
      </c>
      <c r="H2" s="79" t="s">
        <v>466</v>
      </c>
      <c r="I2" s="57" t="s">
        <v>441</v>
      </c>
      <c r="J2" s="78">
        <f>G2*0.12</f>
        <v>461.76</v>
      </c>
      <c r="K2" s="79" t="s">
        <v>462</v>
      </c>
      <c r="L2" s="56">
        <f>J2*B3</f>
        <v>119104.98912</v>
      </c>
      <c r="M2" s="79" t="s">
        <v>386</v>
      </c>
      <c r="N2" s="238" t="s">
        <v>435</v>
      </c>
      <c r="O2" s="40"/>
      <c r="P2" s="40"/>
      <c r="Q2" s="40"/>
      <c r="R2" s="40"/>
      <c r="S2" s="40"/>
      <c r="T2" s="40"/>
    </row>
    <row r="3" spans="1:20" x14ac:dyDescent="0.3">
      <c r="A3" s="143" t="s">
        <v>177</v>
      </c>
      <c r="B3" s="40">
        <v>257.93700000000001</v>
      </c>
      <c r="C3" s="40" t="s">
        <v>165</v>
      </c>
      <c r="D3" s="224" t="s">
        <v>217</v>
      </c>
      <c r="E3" s="40">
        <v>210</v>
      </c>
      <c r="F3" s="77" t="s">
        <v>63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x14ac:dyDescent="0.3">
      <c r="A4" s="76"/>
      <c r="B4" s="40"/>
      <c r="C4" s="40"/>
      <c r="D4" s="224" t="s">
        <v>218</v>
      </c>
      <c r="E4" s="40">
        <v>80.769000000000005</v>
      </c>
      <c r="F4" s="77" t="s">
        <v>63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x14ac:dyDescent="0.3">
      <c r="A5" s="76"/>
      <c r="B5" s="40"/>
      <c r="C5" s="40"/>
      <c r="D5" s="224" t="s">
        <v>219</v>
      </c>
      <c r="E5" s="40">
        <v>8500</v>
      </c>
      <c r="F5" s="77" t="s">
        <v>64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x14ac:dyDescent="0.3">
      <c r="A6" s="76"/>
      <c r="B6" s="40"/>
      <c r="C6" s="40"/>
      <c r="D6" s="224" t="s">
        <v>221</v>
      </c>
      <c r="E6" s="40">
        <v>355</v>
      </c>
      <c r="F6" s="77" t="s">
        <v>220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ht="14.5" thickBot="1" x14ac:dyDescent="0.35">
      <c r="A7" s="78"/>
      <c r="B7" s="57"/>
      <c r="C7" s="57"/>
      <c r="D7" s="144" t="s">
        <v>223</v>
      </c>
      <c r="E7" s="57">
        <v>4.4029999999999996</v>
      </c>
      <c r="F7" s="79" t="s">
        <v>197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ht="14.5" thickBot="1" x14ac:dyDescent="0.3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 ht="14.5" thickBot="1" x14ac:dyDescent="0.35">
      <c r="A9" s="114" t="s">
        <v>222</v>
      </c>
      <c r="B9" s="115" t="s">
        <v>225</v>
      </c>
      <c r="C9" s="115" t="s">
        <v>224</v>
      </c>
      <c r="D9" s="116" t="s">
        <v>226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 x14ac:dyDescent="0.3">
      <c r="A10" s="101">
        <v>1</v>
      </c>
      <c r="B10" s="40">
        <f>$E$7*A10</f>
        <v>4.4029999999999996</v>
      </c>
      <c r="C10" s="40">
        <v>5.375</v>
      </c>
      <c r="D10" s="77">
        <v>31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x14ac:dyDescent="0.3">
      <c r="A11" s="101">
        <v>2</v>
      </c>
      <c r="B11" s="40">
        <f t="shared" ref="B11:B27" si="0">$E$7*A11</f>
        <v>8.8059999999999992</v>
      </c>
      <c r="C11" s="40">
        <v>5.2679999999999998</v>
      </c>
      <c r="D11" s="77">
        <v>31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x14ac:dyDescent="0.3">
      <c r="A12" s="101">
        <v>3</v>
      </c>
      <c r="B12" s="40">
        <f t="shared" si="0"/>
        <v>13.209</v>
      </c>
      <c r="C12" s="40">
        <v>5.1609999999999996</v>
      </c>
      <c r="D12" s="77">
        <v>30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x14ac:dyDescent="0.3">
      <c r="A13" s="101">
        <v>4</v>
      </c>
      <c r="B13" s="40">
        <f t="shared" si="0"/>
        <v>17.611999999999998</v>
      </c>
      <c r="C13" s="40">
        <v>5.0540000000000003</v>
      </c>
      <c r="D13" s="77">
        <v>30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x14ac:dyDescent="0.3">
      <c r="A14" s="101">
        <v>5</v>
      </c>
      <c r="B14" s="40">
        <f t="shared" si="0"/>
        <v>22.014999999999997</v>
      </c>
      <c r="C14" s="40">
        <v>4.9459999999999997</v>
      </c>
      <c r="D14" s="77">
        <v>29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x14ac:dyDescent="0.3">
      <c r="A15" s="101">
        <v>6</v>
      </c>
      <c r="B15" s="40">
        <f t="shared" si="0"/>
        <v>26.417999999999999</v>
      </c>
      <c r="C15" s="40">
        <v>4.8390000000000004</v>
      </c>
      <c r="D15" s="77">
        <v>29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x14ac:dyDescent="0.3">
      <c r="A16" s="101">
        <v>7</v>
      </c>
      <c r="B16" s="40">
        <f t="shared" si="0"/>
        <v>30.820999999999998</v>
      </c>
      <c r="C16" s="40">
        <v>4.7320000000000002</v>
      </c>
      <c r="D16" s="77">
        <v>28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 x14ac:dyDescent="0.3">
      <c r="A17" s="101">
        <v>8</v>
      </c>
      <c r="B17" s="40">
        <f t="shared" si="0"/>
        <v>35.223999999999997</v>
      </c>
      <c r="C17" s="40">
        <v>4.625</v>
      </c>
      <c r="D17" s="77">
        <v>28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 x14ac:dyDescent="0.3">
      <c r="A18" s="101">
        <v>9</v>
      </c>
      <c r="B18" s="40">
        <f t="shared" si="0"/>
        <v>39.626999999999995</v>
      </c>
      <c r="C18" s="40">
        <v>4.5179999999999998</v>
      </c>
      <c r="D18" s="77">
        <v>27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0" x14ac:dyDescent="0.3">
      <c r="A19" s="101">
        <v>10</v>
      </c>
      <c r="B19" s="40">
        <f t="shared" si="0"/>
        <v>44.029999999999994</v>
      </c>
      <c r="C19" s="40">
        <v>4.4109999999999996</v>
      </c>
      <c r="D19" s="77">
        <v>27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0" x14ac:dyDescent="0.3">
      <c r="A20" s="101">
        <v>11</v>
      </c>
      <c r="B20" s="40">
        <f t="shared" si="0"/>
        <v>48.432999999999993</v>
      </c>
      <c r="C20" s="40">
        <v>4.3040000000000003</v>
      </c>
      <c r="D20" s="77">
        <v>26</v>
      </c>
      <c r="E20" s="40"/>
      <c r="F20" s="40"/>
    </row>
    <row r="21" spans="1:20" x14ac:dyDescent="0.3">
      <c r="A21" s="101">
        <v>12</v>
      </c>
      <c r="B21" s="40">
        <f t="shared" si="0"/>
        <v>52.835999999999999</v>
      </c>
      <c r="C21" s="40">
        <v>4.1970000000000001</v>
      </c>
      <c r="D21" s="77">
        <v>26</v>
      </c>
      <c r="E21" s="40"/>
      <c r="F21" s="40"/>
    </row>
    <row r="22" spans="1:20" x14ac:dyDescent="0.3">
      <c r="A22" s="101">
        <v>13</v>
      </c>
      <c r="B22" s="40">
        <f t="shared" si="0"/>
        <v>57.238999999999997</v>
      </c>
      <c r="C22" s="40">
        <v>4.09</v>
      </c>
      <c r="D22" s="77">
        <v>25</v>
      </c>
      <c r="E22" s="40"/>
      <c r="F22" s="40"/>
    </row>
    <row r="23" spans="1:20" x14ac:dyDescent="0.3">
      <c r="A23" s="101">
        <v>14</v>
      </c>
      <c r="B23" s="40">
        <f t="shared" si="0"/>
        <v>61.641999999999996</v>
      </c>
      <c r="C23" s="40">
        <v>3.9830000000000001</v>
      </c>
      <c r="D23" s="77">
        <v>25</v>
      </c>
      <c r="E23" s="40"/>
      <c r="F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20" x14ac:dyDescent="0.3">
      <c r="A24" s="101">
        <v>15</v>
      </c>
      <c r="B24" s="40">
        <f t="shared" si="0"/>
        <v>66.044999999999987</v>
      </c>
      <c r="C24" s="40">
        <v>3.8759999999999999</v>
      </c>
      <c r="D24" s="77">
        <v>24</v>
      </c>
      <c r="E24" s="40"/>
      <c r="F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20" x14ac:dyDescent="0.3">
      <c r="A25" s="101">
        <v>16</v>
      </c>
      <c r="B25" s="40">
        <f t="shared" si="0"/>
        <v>70.447999999999993</v>
      </c>
      <c r="C25" s="40">
        <v>3.7690000000000001</v>
      </c>
      <c r="D25" s="77">
        <v>24</v>
      </c>
      <c r="E25" s="40"/>
      <c r="F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20" x14ac:dyDescent="0.3">
      <c r="A26" s="101">
        <v>17</v>
      </c>
      <c r="B26" s="40">
        <f t="shared" si="0"/>
        <v>74.850999999999999</v>
      </c>
      <c r="C26" s="40">
        <v>3.6619999999999999</v>
      </c>
      <c r="D26" s="77">
        <v>23</v>
      </c>
      <c r="E26" s="40"/>
      <c r="F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20" ht="14.5" thickBot="1" x14ac:dyDescent="0.35">
      <c r="A27" s="102">
        <v>18</v>
      </c>
      <c r="B27" s="57">
        <f t="shared" si="0"/>
        <v>79.253999999999991</v>
      </c>
      <c r="C27" s="57">
        <v>3.5550000000000002</v>
      </c>
      <c r="D27" s="79">
        <v>23</v>
      </c>
      <c r="E27" s="40"/>
      <c r="F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20" x14ac:dyDescent="0.3">
      <c r="A28" s="40"/>
      <c r="B28" s="40"/>
      <c r="C28" s="40"/>
      <c r="D28" s="40"/>
      <c r="E28" s="40"/>
      <c r="F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20" ht="14.5" thickBot="1" x14ac:dyDescent="0.35">
      <c r="A29" s="40"/>
      <c r="B29" s="40"/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20" x14ac:dyDescent="0.3">
      <c r="A30" s="108" t="s">
        <v>136</v>
      </c>
      <c r="B30" s="145" t="s">
        <v>227</v>
      </c>
      <c r="C30" s="146">
        <f>'Rotor Scale'!B8</f>
        <v>13.06786080387964</v>
      </c>
      <c r="D30" s="110" t="s">
        <v>25</v>
      </c>
      <c r="E30" s="40"/>
      <c r="F30" s="40"/>
      <c r="H30" s="40"/>
      <c r="I30" s="40"/>
      <c r="J30" s="108" t="s">
        <v>262</v>
      </c>
      <c r="K30" s="109"/>
      <c r="L30" s="109"/>
      <c r="M30" s="109"/>
      <c r="N30" s="109"/>
      <c r="O30" s="109"/>
      <c r="P30" s="110"/>
      <c r="Q30" s="40"/>
      <c r="R30" s="40"/>
    </row>
    <row r="31" spans="1:20" ht="34" customHeight="1" thickBot="1" x14ac:dyDescent="0.35">
      <c r="A31" s="111" t="s">
        <v>136</v>
      </c>
      <c r="B31" s="147"/>
      <c r="C31" s="37">
        <f>C30/60</f>
        <v>0.21779768006466066</v>
      </c>
      <c r="D31" s="77" t="s">
        <v>228</v>
      </c>
      <c r="E31" s="40"/>
      <c r="F31" s="40"/>
      <c r="H31" s="40"/>
      <c r="I31" s="40"/>
      <c r="J31" s="137" t="s">
        <v>269</v>
      </c>
      <c r="K31" s="152" t="s">
        <v>266</v>
      </c>
      <c r="L31" s="152" t="s">
        <v>267</v>
      </c>
      <c r="M31" s="152" t="s">
        <v>268</v>
      </c>
      <c r="N31" s="152" t="s">
        <v>265</v>
      </c>
      <c r="O31" s="152" t="s">
        <v>264</v>
      </c>
      <c r="P31" s="153" t="s">
        <v>263</v>
      </c>
      <c r="Q31" s="154"/>
      <c r="R31" s="40"/>
    </row>
    <row r="32" spans="1:20" x14ac:dyDescent="0.3">
      <c r="A32" s="111" t="s">
        <v>229</v>
      </c>
      <c r="B32" s="147" t="s">
        <v>230</v>
      </c>
      <c r="C32" s="40">
        <v>1</v>
      </c>
      <c r="D32" s="77"/>
      <c r="E32" s="40"/>
      <c r="F32" s="40"/>
      <c r="H32" s="40"/>
      <c r="I32" s="40"/>
      <c r="J32" s="76">
        <v>1</v>
      </c>
      <c r="K32" s="39">
        <f>J32/60</f>
        <v>1.6666666666666666E-2</v>
      </c>
      <c r="L32" s="39">
        <f>2*K32</f>
        <v>3.3333333333333333E-2</v>
      </c>
      <c r="M32" s="37">
        <f t="shared" ref="M32:M44" si="1">3*K32</f>
        <v>0.05</v>
      </c>
      <c r="N32" s="40">
        <v>0.34993000000000002</v>
      </c>
      <c r="O32" s="40">
        <v>0.35137200000000002</v>
      </c>
      <c r="P32" s="77">
        <v>0.80320499999999995</v>
      </c>
      <c r="Q32" s="40"/>
      <c r="R32" s="40"/>
    </row>
    <row r="33" spans="1:18" x14ac:dyDescent="0.3">
      <c r="A33" s="111" t="s">
        <v>231</v>
      </c>
      <c r="B33" s="147" t="s">
        <v>261</v>
      </c>
      <c r="C33" s="37">
        <f>C31*C32</f>
        <v>0.21779768006466066</v>
      </c>
      <c r="D33" s="77" t="s">
        <v>232</v>
      </c>
      <c r="E33" s="40"/>
      <c r="F33" s="40"/>
      <c r="H33" s="40"/>
      <c r="I33" s="40"/>
      <c r="J33" s="76">
        <v>2</v>
      </c>
      <c r="K33" s="39">
        <f t="shared" ref="K33:K44" si="2">J33/60</f>
        <v>3.3333333333333333E-2</v>
      </c>
      <c r="L33" s="39">
        <f t="shared" ref="L33:L44" si="3">2*K33</f>
        <v>6.6666666666666666E-2</v>
      </c>
      <c r="M33" s="37">
        <f t="shared" si="1"/>
        <v>0.1</v>
      </c>
      <c r="N33" s="40">
        <v>0.34993000000000002</v>
      </c>
      <c r="O33" s="40">
        <v>0.35137200000000002</v>
      </c>
      <c r="P33" s="77">
        <v>0.80320499999999995</v>
      </c>
      <c r="Q33" s="40"/>
      <c r="R33" s="40"/>
    </row>
    <row r="34" spans="1:18" x14ac:dyDescent="0.3">
      <c r="A34" s="111" t="s">
        <v>233</v>
      </c>
      <c r="B34" s="147" t="s">
        <v>234</v>
      </c>
      <c r="C34" s="148">
        <v>2</v>
      </c>
      <c r="D34" s="77"/>
      <c r="E34" s="40"/>
      <c r="F34" s="40"/>
      <c r="H34" s="40"/>
      <c r="I34" s="40"/>
      <c r="J34" s="76">
        <v>3</v>
      </c>
      <c r="K34" s="39">
        <f>J34/60</f>
        <v>0.05</v>
      </c>
      <c r="L34" s="39">
        <f t="shared" si="3"/>
        <v>0.1</v>
      </c>
      <c r="M34" s="37">
        <f t="shared" si="1"/>
        <v>0.15000000000000002</v>
      </c>
      <c r="N34" s="40">
        <v>0.34993000000000002</v>
      </c>
      <c r="O34" s="40">
        <v>0.35137200000000002</v>
      </c>
      <c r="P34" s="77">
        <v>0.80320499999999995</v>
      </c>
      <c r="Q34" s="40"/>
      <c r="R34" s="40"/>
    </row>
    <row r="35" spans="1:18" x14ac:dyDescent="0.3">
      <c r="A35" s="111" t="s">
        <v>235</v>
      </c>
      <c r="B35" s="147" t="s">
        <v>236</v>
      </c>
      <c r="C35" s="37">
        <f>C34*C31</f>
        <v>0.43559536012932132</v>
      </c>
      <c r="D35" s="77" t="s">
        <v>232</v>
      </c>
      <c r="E35" s="40"/>
      <c r="F35" s="40"/>
      <c r="H35" s="40"/>
      <c r="I35" s="40"/>
      <c r="J35" s="76">
        <v>4</v>
      </c>
      <c r="K35" s="39">
        <f t="shared" si="2"/>
        <v>6.6666666666666666E-2</v>
      </c>
      <c r="L35" s="39">
        <f t="shared" si="3"/>
        <v>0.13333333333333333</v>
      </c>
      <c r="M35" s="37">
        <f t="shared" si="1"/>
        <v>0.2</v>
      </c>
      <c r="N35" s="40">
        <v>0.34993000000000002</v>
      </c>
      <c r="O35" s="40">
        <v>0.35137200000000002</v>
      </c>
      <c r="P35" s="77">
        <v>0.80320499999999995</v>
      </c>
      <c r="Q35" s="40"/>
      <c r="R35" s="40"/>
    </row>
    <row r="36" spans="1:18" x14ac:dyDescent="0.3">
      <c r="A36" s="111" t="s">
        <v>237</v>
      </c>
      <c r="B36" s="147" t="s">
        <v>238</v>
      </c>
      <c r="C36" s="40">
        <v>3</v>
      </c>
      <c r="D36" s="77"/>
      <c r="E36" s="40"/>
      <c r="F36" s="40"/>
      <c r="H36" s="40"/>
      <c r="I36" s="40"/>
      <c r="J36" s="76">
        <v>5</v>
      </c>
      <c r="K36" s="39">
        <f>J36/60</f>
        <v>8.3333333333333329E-2</v>
      </c>
      <c r="L36" s="39">
        <f t="shared" si="3"/>
        <v>0.16666666666666666</v>
      </c>
      <c r="M36" s="37">
        <f t="shared" si="1"/>
        <v>0.25</v>
      </c>
      <c r="N36" s="40">
        <v>0.34993000000000002</v>
      </c>
      <c r="O36" s="40">
        <v>0.35137200000000002</v>
      </c>
      <c r="P36" s="77">
        <v>0.80320499999999995</v>
      </c>
      <c r="Q36" s="40"/>
      <c r="R36" s="40"/>
    </row>
    <row r="37" spans="1:18" x14ac:dyDescent="0.3">
      <c r="A37" s="111" t="s">
        <v>239</v>
      </c>
      <c r="B37" s="147" t="s">
        <v>240</v>
      </c>
      <c r="C37" s="40">
        <f>C36*C31</f>
        <v>0.65339304019398203</v>
      </c>
      <c r="D37" s="77" t="s">
        <v>232</v>
      </c>
      <c r="E37" s="40"/>
      <c r="F37" s="40"/>
      <c r="H37" s="40"/>
      <c r="I37" s="40"/>
      <c r="J37" s="76">
        <v>6</v>
      </c>
      <c r="K37" s="39">
        <f t="shared" si="2"/>
        <v>0.1</v>
      </c>
      <c r="L37" s="39">
        <f t="shared" si="3"/>
        <v>0.2</v>
      </c>
      <c r="M37" s="37">
        <f t="shared" si="1"/>
        <v>0.30000000000000004</v>
      </c>
      <c r="N37" s="40">
        <v>0.34993000000000002</v>
      </c>
      <c r="O37" s="40">
        <v>0.35137200000000002</v>
      </c>
      <c r="P37" s="77">
        <v>0.80320499999999995</v>
      </c>
      <c r="Q37" s="40"/>
      <c r="R37" s="40"/>
    </row>
    <row r="38" spans="1:18" x14ac:dyDescent="0.3">
      <c r="A38" s="111"/>
      <c r="B38" s="147"/>
      <c r="C38" s="40"/>
      <c r="D38" s="77"/>
      <c r="E38" s="40"/>
      <c r="F38" s="40"/>
      <c r="H38" s="40"/>
      <c r="I38" s="40"/>
      <c r="J38" s="76">
        <v>7</v>
      </c>
      <c r="K38" s="39">
        <f t="shared" si="2"/>
        <v>0.11666666666666667</v>
      </c>
      <c r="L38" s="39">
        <f t="shared" si="3"/>
        <v>0.23333333333333334</v>
      </c>
      <c r="M38" s="37">
        <f t="shared" si="1"/>
        <v>0.35</v>
      </c>
      <c r="N38" s="40">
        <v>0.34993000000000002</v>
      </c>
      <c r="O38" s="40">
        <v>0.35137200000000002</v>
      </c>
      <c r="P38" s="77">
        <v>0.80320499999999995</v>
      </c>
      <c r="Q38" s="40"/>
      <c r="R38" s="40"/>
    </row>
    <row r="39" spans="1:18" x14ac:dyDescent="0.3">
      <c r="A39" s="111" t="s">
        <v>241</v>
      </c>
      <c r="B39" s="147"/>
      <c r="C39" s="40"/>
      <c r="D39" s="77"/>
      <c r="E39" s="40"/>
      <c r="F39" s="40"/>
      <c r="H39" s="40"/>
      <c r="I39" s="40"/>
      <c r="J39" s="76">
        <v>8</v>
      </c>
      <c r="K39" s="39">
        <f t="shared" si="2"/>
        <v>0.13333333333333333</v>
      </c>
      <c r="L39" s="39">
        <f t="shared" si="3"/>
        <v>0.26666666666666666</v>
      </c>
      <c r="M39" s="37">
        <f t="shared" si="1"/>
        <v>0.4</v>
      </c>
      <c r="N39" s="40">
        <v>0.34993000000000002</v>
      </c>
      <c r="O39" s="40">
        <v>0.35137200000000002</v>
      </c>
      <c r="P39" s="77">
        <v>0.80320499999999995</v>
      </c>
      <c r="Q39" s="40"/>
      <c r="R39" s="40"/>
    </row>
    <row r="40" spans="1:18" x14ac:dyDescent="0.3">
      <c r="A40" s="111" t="s">
        <v>242</v>
      </c>
      <c r="B40" s="147" t="s">
        <v>243</v>
      </c>
      <c r="C40" s="40">
        <v>0.34993000000000002</v>
      </c>
      <c r="D40" s="77" t="s">
        <v>232</v>
      </c>
      <c r="E40" s="40"/>
      <c r="F40" s="40"/>
      <c r="H40" s="40"/>
      <c r="I40" s="40"/>
      <c r="J40" s="76">
        <v>9</v>
      </c>
      <c r="K40" s="39">
        <f t="shared" si="2"/>
        <v>0.15</v>
      </c>
      <c r="L40" s="39">
        <f t="shared" si="3"/>
        <v>0.3</v>
      </c>
      <c r="M40" s="37">
        <f t="shared" si="1"/>
        <v>0.44999999999999996</v>
      </c>
      <c r="N40" s="40">
        <v>0.34993000000000002</v>
      </c>
      <c r="O40" s="40">
        <v>0.35137200000000002</v>
      </c>
      <c r="P40" s="77">
        <v>0.80320499999999995</v>
      </c>
      <c r="Q40" s="40"/>
      <c r="R40" s="40"/>
    </row>
    <row r="41" spans="1:18" x14ac:dyDescent="0.3">
      <c r="A41" s="111" t="s">
        <v>244</v>
      </c>
      <c r="B41" s="147" t="s">
        <v>245</v>
      </c>
      <c r="C41" s="37">
        <f>C33/C40</f>
        <v>0.62240356661235285</v>
      </c>
      <c r="D41" s="149" t="s">
        <v>141</v>
      </c>
      <c r="E41" s="40"/>
      <c r="F41" s="40"/>
      <c r="H41" s="40"/>
      <c r="I41" s="40"/>
      <c r="J41" s="76">
        <v>10</v>
      </c>
      <c r="K41" s="39">
        <f t="shared" si="2"/>
        <v>0.16666666666666666</v>
      </c>
      <c r="L41" s="39">
        <f t="shared" si="3"/>
        <v>0.33333333333333331</v>
      </c>
      <c r="M41" s="37">
        <f t="shared" si="1"/>
        <v>0.5</v>
      </c>
      <c r="N41" s="40">
        <v>0.34993000000000002</v>
      </c>
      <c r="O41" s="40">
        <v>0.35137200000000002</v>
      </c>
      <c r="P41" s="77">
        <v>0.80320499999999995</v>
      </c>
      <c r="Q41" s="40"/>
      <c r="R41" s="40"/>
    </row>
    <row r="42" spans="1:18" x14ac:dyDescent="0.3">
      <c r="A42" s="111" t="s">
        <v>246</v>
      </c>
      <c r="B42" s="147" t="s">
        <v>247</v>
      </c>
      <c r="C42" s="37">
        <f>C35/C40</f>
        <v>1.2448071332247057</v>
      </c>
      <c r="D42" s="149" t="s">
        <v>141</v>
      </c>
      <c r="E42" s="40"/>
      <c r="F42" s="40"/>
      <c r="H42" s="40"/>
      <c r="I42" s="40"/>
      <c r="J42" s="76">
        <v>11</v>
      </c>
      <c r="K42" s="39">
        <f t="shared" si="2"/>
        <v>0.18333333333333332</v>
      </c>
      <c r="L42" s="39">
        <f t="shared" si="3"/>
        <v>0.36666666666666664</v>
      </c>
      <c r="M42" s="37">
        <f t="shared" si="1"/>
        <v>0.54999999999999993</v>
      </c>
      <c r="N42" s="40">
        <v>0.34993000000000002</v>
      </c>
      <c r="O42" s="40">
        <v>0.35137200000000002</v>
      </c>
      <c r="P42" s="77">
        <v>0.80320499999999995</v>
      </c>
      <c r="Q42" s="40"/>
      <c r="R42" s="40"/>
    </row>
    <row r="43" spans="1:18" x14ac:dyDescent="0.3">
      <c r="A43" s="111" t="s">
        <v>248</v>
      </c>
      <c r="B43" s="147" t="s">
        <v>249</v>
      </c>
      <c r="C43" s="37">
        <f>C37/C40</f>
        <v>1.8672106998370588</v>
      </c>
      <c r="D43" s="149" t="s">
        <v>141</v>
      </c>
      <c r="E43" s="40"/>
      <c r="F43" s="40"/>
      <c r="H43" s="40"/>
      <c r="I43" s="40"/>
      <c r="J43" s="76">
        <v>12</v>
      </c>
      <c r="K43" s="39">
        <f t="shared" si="2"/>
        <v>0.2</v>
      </c>
      <c r="L43" s="39">
        <f t="shared" si="3"/>
        <v>0.4</v>
      </c>
      <c r="M43" s="37">
        <f t="shared" si="1"/>
        <v>0.60000000000000009</v>
      </c>
      <c r="N43" s="40">
        <v>0.34993000000000002</v>
      </c>
      <c r="O43" s="40">
        <v>0.35137200000000002</v>
      </c>
      <c r="P43" s="77">
        <v>0.80320499999999995</v>
      </c>
      <c r="Q43" s="40"/>
      <c r="R43" s="40"/>
    </row>
    <row r="44" spans="1:18" ht="14.5" thickBot="1" x14ac:dyDescent="0.35">
      <c r="A44" s="111"/>
      <c r="B44" s="147"/>
      <c r="C44" s="40"/>
      <c r="D44" s="77"/>
      <c r="E44" s="40"/>
      <c r="F44" s="40"/>
      <c r="H44" s="40"/>
      <c r="I44" s="40"/>
      <c r="J44" s="55">
        <f>C30</f>
        <v>13.06786080387964</v>
      </c>
      <c r="K44" s="51">
        <f t="shared" si="2"/>
        <v>0.21779768006466066</v>
      </c>
      <c r="L44" s="51">
        <f t="shared" si="3"/>
        <v>0.43559536012932132</v>
      </c>
      <c r="M44" s="46">
        <f t="shared" si="1"/>
        <v>0.65339304019398203</v>
      </c>
      <c r="N44" s="57">
        <v>0.34993000000000002</v>
      </c>
      <c r="O44" s="57">
        <v>0.35137200000000002</v>
      </c>
      <c r="P44" s="79">
        <v>0.80320499999999995</v>
      </c>
      <c r="Q44" s="40"/>
      <c r="R44" s="40"/>
    </row>
    <row r="45" spans="1:18" x14ac:dyDescent="0.3">
      <c r="A45" s="111"/>
      <c r="B45" s="147"/>
      <c r="C45" s="40"/>
      <c r="D45" s="77"/>
      <c r="E45" s="40"/>
      <c r="F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x14ac:dyDescent="0.3">
      <c r="A46" s="111"/>
      <c r="B46" s="147"/>
      <c r="C46" s="40"/>
      <c r="D46" s="77"/>
      <c r="E46" s="40"/>
      <c r="F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</row>
    <row r="47" spans="1:18" x14ac:dyDescent="0.3">
      <c r="A47" s="111" t="s">
        <v>250</v>
      </c>
      <c r="B47" s="147"/>
      <c r="C47" s="40" t="s">
        <v>251</v>
      </c>
      <c r="D47" s="77" t="s">
        <v>252</v>
      </c>
      <c r="E47" s="40"/>
      <c r="F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x14ac:dyDescent="0.3">
      <c r="A48" s="111"/>
      <c r="B48" s="147"/>
      <c r="C48" s="40" t="s">
        <v>253</v>
      </c>
      <c r="D48" s="77" t="s">
        <v>254</v>
      </c>
      <c r="E48" s="40"/>
      <c r="F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1:18" x14ac:dyDescent="0.3">
      <c r="A49" s="111"/>
      <c r="B49" s="147"/>
      <c r="C49" s="40"/>
      <c r="D49" s="77">
        <v>0.15</v>
      </c>
      <c r="E49" s="40"/>
      <c r="F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1:18" x14ac:dyDescent="0.3">
      <c r="A50" s="111" t="s">
        <v>255</v>
      </c>
      <c r="B50" s="147" t="s">
        <v>256</v>
      </c>
      <c r="C50" s="41">
        <f>1/(1-C41^2)</f>
        <v>1.6323497765838235</v>
      </c>
      <c r="D50" s="129">
        <f>1/SQRT((1-C41^2)^2+(2*$D$49*C41)^2)</f>
        <v>1.5614321674029794</v>
      </c>
      <c r="E50" s="40"/>
      <c r="F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8" x14ac:dyDescent="0.3">
      <c r="A51" s="111" t="s">
        <v>257</v>
      </c>
      <c r="B51" s="147" t="s">
        <v>258</v>
      </c>
      <c r="C51" s="41">
        <f>1/(1-C42^2)</f>
        <v>-1.8196878615762071</v>
      </c>
      <c r="D51" s="129">
        <f>1/SQRT((1-C42^2)^2+(2*$D$49*C42)^2)</f>
        <v>1.5050642829864265</v>
      </c>
      <c r="E51" s="40"/>
      <c r="F51" s="40"/>
    </row>
    <row r="52" spans="1:18" ht="14.5" thickBot="1" x14ac:dyDescent="0.35">
      <c r="A52" s="112" t="s">
        <v>259</v>
      </c>
      <c r="B52" s="150" t="s">
        <v>260</v>
      </c>
      <c r="C52" s="56">
        <f>1/(1-C43^2)</f>
        <v>-0.40217564191489513</v>
      </c>
      <c r="D52" s="151">
        <f>1/SQRT((1-C43^2)^2+(2*$D$49*C43)^2)</f>
        <v>0.39234260306053764</v>
      </c>
      <c r="E52" s="40"/>
      <c r="F52" s="40"/>
    </row>
    <row r="53" spans="1:18" x14ac:dyDescent="0.3">
      <c r="A53" s="40"/>
      <c r="B53" s="40"/>
      <c r="C53" s="40"/>
      <c r="D53" s="40"/>
      <c r="E53" s="40"/>
      <c r="F53" s="40"/>
    </row>
    <row r="54" spans="1:18" x14ac:dyDescent="0.3">
      <c r="A54" s="40"/>
      <c r="B54" s="40"/>
      <c r="C54" s="40"/>
      <c r="D54" s="40"/>
      <c r="E54" s="40"/>
      <c r="F54" s="40"/>
    </row>
    <row r="55" spans="1:18" x14ac:dyDescent="0.3">
      <c r="A55" s="40"/>
      <c r="B55" s="40"/>
      <c r="C55" s="40"/>
      <c r="D55" s="40"/>
      <c r="E55" s="40"/>
      <c r="F55" s="40"/>
    </row>
    <row r="56" spans="1:18" x14ac:dyDescent="0.3">
      <c r="A56" s="40"/>
      <c r="B56" s="40"/>
      <c r="C56" s="40"/>
      <c r="D56" s="40"/>
      <c r="E56" s="40"/>
      <c r="F56" s="40"/>
    </row>
    <row r="57" spans="1:18" x14ac:dyDescent="0.3">
      <c r="A57" s="40"/>
      <c r="B57" s="40"/>
      <c r="C57" s="40"/>
      <c r="D57" s="40"/>
      <c r="E57" s="40"/>
      <c r="F57" s="40"/>
    </row>
  </sheetData>
  <mergeCells count="3">
    <mergeCell ref="G1:H1"/>
    <mergeCell ref="J1:K1"/>
    <mergeCell ref="L1:M1"/>
  </mergeCells>
  <phoneticPr fontId="18" type="noConversion"/>
  <hyperlinks>
    <hyperlink ref="N2" r:id="rId1" display="https://tradingeconomics.com/commodities" xr:uid="{E0986A67-0A1E-4A62-AD65-51A7BF3F156E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1D9C-C5FB-4B68-A98A-908D9CDA3BEF}">
  <dimension ref="A1:L36"/>
  <sheetViews>
    <sheetView workbookViewId="0">
      <selection activeCell="G30" sqref="G30"/>
    </sheetView>
  </sheetViews>
  <sheetFormatPr defaultRowHeight="14" x14ac:dyDescent="0.3"/>
  <cols>
    <col min="1" max="1" width="36.9140625" customWidth="1"/>
    <col min="2" max="2" width="28.33203125" customWidth="1"/>
    <col min="4" max="4" width="35.58203125" customWidth="1"/>
    <col min="7" max="7" width="49.5" customWidth="1"/>
    <col min="8" max="8" width="9.1640625" bestFit="1" customWidth="1"/>
    <col min="10" max="10" width="10.5" customWidth="1"/>
  </cols>
  <sheetData>
    <row r="1" spans="1:12" x14ac:dyDescent="0.3">
      <c r="A1" s="82"/>
      <c r="B1" s="26" t="s">
        <v>100</v>
      </c>
      <c r="C1" s="110"/>
      <c r="D1" s="166" t="s">
        <v>101</v>
      </c>
      <c r="E1" s="40"/>
      <c r="F1" s="40"/>
      <c r="G1" s="40"/>
    </row>
    <row r="2" spans="1:12" x14ac:dyDescent="0.3">
      <c r="A2" s="134" t="s">
        <v>102</v>
      </c>
      <c r="B2" s="167">
        <v>4500000</v>
      </c>
      <c r="C2" s="164" t="s">
        <v>4</v>
      </c>
      <c r="D2" s="40" t="s">
        <v>160</v>
      </c>
      <c r="E2" s="40"/>
      <c r="F2" s="40"/>
      <c r="G2" s="40"/>
    </row>
    <row r="3" spans="1:12" x14ac:dyDescent="0.3">
      <c r="A3" s="134" t="s">
        <v>103</v>
      </c>
      <c r="B3" s="148">
        <v>1</v>
      </c>
      <c r="C3" s="164"/>
      <c r="D3" s="40" t="s">
        <v>159</v>
      </c>
      <c r="E3" s="40"/>
      <c r="F3" s="40"/>
      <c r="G3" s="40"/>
    </row>
    <row r="4" spans="1:12" x14ac:dyDescent="0.3">
      <c r="A4" s="134" t="s">
        <v>104</v>
      </c>
      <c r="B4" s="40">
        <v>13.1</v>
      </c>
      <c r="C4" s="164" t="s">
        <v>25</v>
      </c>
      <c r="D4" s="40"/>
      <c r="E4" s="40"/>
      <c r="F4" s="40"/>
      <c r="G4" s="40"/>
    </row>
    <row r="5" spans="1:12" x14ac:dyDescent="0.3">
      <c r="A5" s="134" t="s">
        <v>104</v>
      </c>
      <c r="B5" s="41">
        <f>B4*2*PI()/60</f>
        <v>1.3718287920675429</v>
      </c>
      <c r="C5" s="164" t="s">
        <v>23</v>
      </c>
      <c r="D5" s="40"/>
      <c r="E5" s="40"/>
      <c r="F5" s="40"/>
      <c r="G5" s="40"/>
    </row>
    <row r="6" spans="1:12" x14ac:dyDescent="0.3">
      <c r="A6" s="134"/>
      <c r="B6" s="40"/>
      <c r="C6" s="164"/>
      <c r="D6" s="40"/>
      <c r="E6" s="40"/>
      <c r="F6" s="40"/>
      <c r="G6" s="40"/>
    </row>
    <row r="7" spans="1:12" x14ac:dyDescent="0.3">
      <c r="A7" s="134" t="s">
        <v>105</v>
      </c>
      <c r="B7" s="167">
        <f>B2/B5</f>
        <v>3280292.720214637</v>
      </c>
      <c r="C7" s="164" t="s">
        <v>106</v>
      </c>
      <c r="D7" s="40"/>
      <c r="E7" s="40"/>
      <c r="F7" s="40"/>
      <c r="G7" s="40"/>
    </row>
    <row r="8" spans="1:12" x14ac:dyDescent="0.3">
      <c r="A8" s="134"/>
      <c r="B8" s="40"/>
      <c r="C8" s="164"/>
      <c r="D8" s="40"/>
      <c r="E8" s="40"/>
      <c r="F8" s="40"/>
      <c r="G8" s="40"/>
    </row>
    <row r="9" spans="1:12" x14ac:dyDescent="0.3">
      <c r="A9" s="134" t="s">
        <v>107</v>
      </c>
      <c r="B9" s="41">
        <v>2</v>
      </c>
      <c r="C9" s="164"/>
      <c r="D9" s="40" t="s">
        <v>161</v>
      </c>
      <c r="E9" s="40"/>
      <c r="F9" s="40"/>
      <c r="G9" s="40"/>
    </row>
    <row r="10" spans="1:12" x14ac:dyDescent="0.3">
      <c r="A10" s="134" t="s">
        <v>379</v>
      </c>
      <c r="B10" s="167">
        <v>40000</v>
      </c>
      <c r="C10" s="164" t="s">
        <v>109</v>
      </c>
      <c r="D10" s="40" t="s">
        <v>110</v>
      </c>
      <c r="E10" s="40"/>
      <c r="F10" s="40"/>
      <c r="G10" s="40"/>
    </row>
    <row r="11" spans="1:12" x14ac:dyDescent="0.3">
      <c r="A11" s="134"/>
      <c r="B11" s="40"/>
      <c r="C11" s="164"/>
      <c r="D11" s="40"/>
      <c r="E11" s="40"/>
      <c r="F11" s="40"/>
      <c r="G11" s="40"/>
    </row>
    <row r="12" spans="1:12" x14ac:dyDescent="0.3">
      <c r="A12" s="134" t="s">
        <v>111</v>
      </c>
      <c r="B12" s="41">
        <f>(B7*B9/B10/2/PI())^(1/3)</f>
        <v>2.9664309616971023</v>
      </c>
      <c r="C12" s="164" t="s">
        <v>12</v>
      </c>
      <c r="D12" s="40"/>
      <c r="E12" s="40"/>
      <c r="F12" s="40"/>
      <c r="G12" s="40"/>
    </row>
    <row r="13" spans="1:12" x14ac:dyDescent="0.3">
      <c r="A13" s="134" t="s">
        <v>112</v>
      </c>
      <c r="B13" s="41">
        <f>B12/B9</f>
        <v>1.4832154808485511</v>
      </c>
      <c r="C13" s="164" t="s">
        <v>12</v>
      </c>
      <c r="D13" s="40"/>
      <c r="E13" s="40"/>
      <c r="F13" s="40"/>
      <c r="G13" s="40"/>
    </row>
    <row r="14" spans="1:12" x14ac:dyDescent="0.3">
      <c r="A14" s="134"/>
      <c r="B14" s="40"/>
      <c r="C14" s="164"/>
      <c r="D14" s="40"/>
      <c r="E14" s="40"/>
      <c r="F14" s="40"/>
      <c r="G14" s="40"/>
    </row>
    <row r="15" spans="1:12" x14ac:dyDescent="0.3">
      <c r="A15" s="134" t="s">
        <v>380</v>
      </c>
      <c r="B15" s="41">
        <f>2*PI()*B12*B13</f>
        <v>27.645112616559704</v>
      </c>
      <c r="C15" s="164" t="s">
        <v>114</v>
      </c>
      <c r="D15" s="40"/>
      <c r="E15" s="40"/>
      <c r="F15" s="40"/>
      <c r="G15" s="224" t="s">
        <v>446</v>
      </c>
      <c r="H15" s="224"/>
      <c r="I15" s="224"/>
      <c r="J15" s="159"/>
      <c r="K15" s="40"/>
      <c r="L15" s="40"/>
    </row>
    <row r="16" spans="1:12" ht="14.5" thickBot="1" x14ac:dyDescent="0.35">
      <c r="A16" s="134" t="s">
        <v>115</v>
      </c>
      <c r="B16" s="41">
        <f>PI()*B12^2*B13</f>
        <v>41.003659002682951</v>
      </c>
      <c r="C16" s="164" t="s">
        <v>116</v>
      </c>
      <c r="D16" s="40"/>
      <c r="E16" s="40"/>
      <c r="F16" s="40"/>
      <c r="G16" s="248" t="s">
        <v>435</v>
      </c>
      <c r="H16" s="40"/>
      <c r="I16" s="40"/>
      <c r="J16" s="40"/>
      <c r="K16" s="40"/>
      <c r="L16" s="40"/>
    </row>
    <row r="17" spans="1:12" ht="14.5" thickBot="1" x14ac:dyDescent="0.35">
      <c r="A17" s="134"/>
      <c r="B17" s="167"/>
      <c r="C17" s="164"/>
      <c r="D17" s="40"/>
      <c r="E17" s="40"/>
      <c r="F17" s="40"/>
      <c r="G17" s="123" t="s">
        <v>421</v>
      </c>
      <c r="H17" s="278" t="s">
        <v>442</v>
      </c>
      <c r="I17" s="278"/>
      <c r="J17" s="124" t="s">
        <v>440</v>
      </c>
      <c r="K17" s="278" t="s">
        <v>443</v>
      </c>
      <c r="L17" s="275"/>
    </row>
    <row r="18" spans="1:12" x14ac:dyDescent="0.3">
      <c r="A18" s="231" t="s">
        <v>117</v>
      </c>
      <c r="B18" s="249">
        <f>B$15*'3MW-DDPMG'!B20</f>
        <v>26.545799829054175</v>
      </c>
      <c r="C18" s="163" t="s">
        <v>118</v>
      </c>
      <c r="D18" s="109" t="s">
        <v>119</v>
      </c>
      <c r="E18" s="109"/>
      <c r="F18" s="109"/>
      <c r="G18" s="145" t="s">
        <v>433</v>
      </c>
      <c r="H18" s="109">
        <v>116</v>
      </c>
      <c r="I18" s="109" t="s">
        <v>436</v>
      </c>
      <c r="J18" s="109" t="s">
        <v>441</v>
      </c>
      <c r="K18" s="109">
        <f>H18*0.8</f>
        <v>92.800000000000011</v>
      </c>
      <c r="L18" s="110" t="s">
        <v>438</v>
      </c>
    </row>
    <row r="19" spans="1:12" x14ac:dyDescent="0.3">
      <c r="A19" s="134" t="s">
        <v>162</v>
      </c>
      <c r="B19" s="42">
        <f>B$15*'3MW-DDPMG'!B21</f>
        <v>6.3064607328692226</v>
      </c>
      <c r="C19" s="164" t="s">
        <v>118</v>
      </c>
      <c r="D19" s="40"/>
      <c r="E19" s="40"/>
      <c r="F19" s="40"/>
      <c r="G19" s="147" t="s">
        <v>434</v>
      </c>
      <c r="H19" s="40">
        <v>3.8479999999999999</v>
      </c>
      <c r="I19" s="40" t="s">
        <v>439</v>
      </c>
      <c r="J19" s="40" t="s">
        <v>441</v>
      </c>
      <c r="K19" s="40">
        <f>H19*2240*0.8</f>
        <v>6895.6160000000009</v>
      </c>
      <c r="L19" s="77" t="s">
        <v>437</v>
      </c>
    </row>
    <row r="20" spans="1:12" ht="14.5" thickBot="1" x14ac:dyDescent="0.35">
      <c r="A20" s="135" t="s">
        <v>121</v>
      </c>
      <c r="B20" s="58">
        <f>B$15*'3MW-DDPMG'!B22</f>
        <v>2.493251917645972</v>
      </c>
      <c r="C20" s="161" t="s">
        <v>118</v>
      </c>
      <c r="D20" s="57"/>
      <c r="E20" s="57"/>
      <c r="F20" s="57"/>
      <c r="G20" s="150" t="s">
        <v>444</v>
      </c>
      <c r="H20" s="57">
        <v>605000</v>
      </c>
      <c r="I20" s="57" t="s">
        <v>445</v>
      </c>
      <c r="J20" s="57" t="s">
        <v>441</v>
      </c>
      <c r="K20" s="57">
        <f>H20*0.12</f>
        <v>72600</v>
      </c>
      <c r="L20" s="79" t="s">
        <v>437</v>
      </c>
    </row>
    <row r="21" spans="1:12" ht="14.5" thickBot="1" x14ac:dyDescent="0.35">
      <c r="A21" s="134"/>
      <c r="B21" s="40"/>
      <c r="C21" s="164"/>
      <c r="D21" s="40"/>
      <c r="E21" s="40"/>
      <c r="F21" s="40"/>
    </row>
    <row r="22" spans="1:12" x14ac:dyDescent="0.3">
      <c r="A22" s="134" t="s">
        <v>122</v>
      </c>
      <c r="B22" s="40">
        <v>0.1</v>
      </c>
      <c r="C22" s="164" t="s">
        <v>12</v>
      </c>
      <c r="D22" s="40" t="s">
        <v>123</v>
      </c>
      <c r="E22" s="40"/>
      <c r="F22" s="40"/>
      <c r="G22" s="231" t="s">
        <v>422</v>
      </c>
      <c r="H22" s="229"/>
      <c r="I22" s="230"/>
    </row>
    <row r="23" spans="1:12" x14ac:dyDescent="0.3">
      <c r="A23" s="134" t="s">
        <v>124</v>
      </c>
      <c r="B23" s="41">
        <f>2*PI()*B12/B22</f>
        <v>186.38635433297841</v>
      </c>
      <c r="C23" s="164"/>
      <c r="D23" s="40"/>
      <c r="E23" s="40"/>
      <c r="F23" s="40"/>
      <c r="G23" s="134" t="s">
        <v>448</v>
      </c>
      <c r="H23">
        <f>K18*B18</f>
        <v>2463.4502241362279</v>
      </c>
      <c r="I23" s="226" t="s">
        <v>386</v>
      </c>
    </row>
    <row r="24" spans="1:12" x14ac:dyDescent="0.3">
      <c r="A24" s="134" t="s">
        <v>125</v>
      </c>
      <c r="B24" s="41">
        <f>B23/2</f>
        <v>93.193177166489207</v>
      </c>
      <c r="C24" s="164"/>
      <c r="D24" s="40"/>
      <c r="E24" s="40"/>
      <c r="F24" s="40"/>
      <c r="G24" s="134" t="s">
        <v>449</v>
      </c>
      <c r="H24">
        <f t="shared" ref="H24:H25" si="0">K19*B19</f>
        <v>43486.931532944742</v>
      </c>
      <c r="I24" s="226" t="s">
        <v>386</v>
      </c>
    </row>
    <row r="25" spans="1:12" x14ac:dyDescent="0.3">
      <c r="A25" s="134"/>
      <c r="B25" s="41"/>
      <c r="C25" s="164"/>
      <c r="D25" s="40"/>
      <c r="E25" s="40"/>
      <c r="F25" s="40"/>
      <c r="G25" s="134" t="s">
        <v>450</v>
      </c>
      <c r="H25">
        <f t="shared" si="0"/>
        <v>181010.08922109756</v>
      </c>
      <c r="I25" s="226" t="s">
        <v>386</v>
      </c>
    </row>
    <row r="26" spans="1:12" ht="14.5" thickBot="1" x14ac:dyDescent="0.35">
      <c r="A26" s="134" t="s">
        <v>126</v>
      </c>
      <c r="B26" s="41">
        <f>ROUND(B24,0)</f>
        <v>93</v>
      </c>
      <c r="C26" s="164"/>
      <c r="D26" s="40" t="s">
        <v>127</v>
      </c>
      <c r="E26" s="40"/>
      <c r="F26" s="40"/>
      <c r="G26" s="135" t="s">
        <v>447</v>
      </c>
      <c r="H26" s="227">
        <f>SUM(H23:H25)</f>
        <v>226960.47097817852</v>
      </c>
      <c r="I26" s="228" t="s">
        <v>386</v>
      </c>
    </row>
    <row r="27" spans="1:12" x14ac:dyDescent="0.3">
      <c r="A27" s="134" t="s">
        <v>128</v>
      </c>
      <c r="B27" s="40">
        <f>2*B26</f>
        <v>186</v>
      </c>
      <c r="C27" s="164"/>
      <c r="D27" s="40"/>
      <c r="E27" s="40"/>
      <c r="F27" s="40"/>
      <c r="G27" s="40"/>
    </row>
    <row r="28" spans="1:12" x14ac:dyDescent="0.3">
      <c r="A28" s="134" t="s">
        <v>129</v>
      </c>
      <c r="B28" s="37">
        <f>2*PI()*B12/B27</f>
        <v>0.10020771738332174</v>
      </c>
      <c r="C28" s="164" t="s">
        <v>12</v>
      </c>
      <c r="D28" s="40"/>
      <c r="E28" s="40"/>
      <c r="F28" s="40"/>
      <c r="G28" s="40"/>
    </row>
    <row r="29" spans="1:12" x14ac:dyDescent="0.3">
      <c r="A29" s="134"/>
      <c r="B29" s="40"/>
      <c r="C29" s="164"/>
      <c r="D29" s="40"/>
      <c r="E29" s="40"/>
      <c r="F29" s="40"/>
      <c r="G29" s="40"/>
    </row>
    <row r="30" spans="1:12" x14ac:dyDescent="0.3">
      <c r="A30" s="134" t="s">
        <v>130</v>
      </c>
      <c r="B30" s="167">
        <f>'3MW-DDPMG'!B53*'Generator design'!B19</f>
        <v>36802.494631872702</v>
      </c>
      <c r="C30" s="164" t="s">
        <v>158</v>
      </c>
      <c r="D30" s="40" t="s">
        <v>131</v>
      </c>
      <c r="E30" s="40"/>
      <c r="F30" s="40"/>
      <c r="G30" s="40"/>
    </row>
    <row r="31" spans="1:12" x14ac:dyDescent="0.3">
      <c r="A31" s="134" t="s">
        <v>132</v>
      </c>
      <c r="B31" s="148">
        <f>B15*'3MW-DDPMG'!B52</f>
        <v>21999.28162628799</v>
      </c>
      <c r="C31" s="164" t="s">
        <v>158</v>
      </c>
      <c r="D31" s="40"/>
      <c r="E31" s="40"/>
      <c r="F31" s="40"/>
      <c r="G31" s="40"/>
    </row>
    <row r="32" spans="1:12" ht="14.5" thickBot="1" x14ac:dyDescent="0.35">
      <c r="A32" s="135" t="s">
        <v>133</v>
      </c>
      <c r="B32" s="168">
        <f>B30+B31</f>
        <v>58801.776258160695</v>
      </c>
      <c r="C32" s="161" t="s">
        <v>158</v>
      </c>
      <c r="D32" s="40"/>
      <c r="E32" s="40"/>
      <c r="F32" s="40"/>
      <c r="G32" s="40"/>
    </row>
    <row r="33" spans="1:7" x14ac:dyDescent="0.3">
      <c r="A33" s="40"/>
      <c r="B33" s="40"/>
      <c r="C33" s="40"/>
      <c r="D33" s="40"/>
      <c r="E33" s="40"/>
      <c r="F33" s="40"/>
      <c r="G33" s="40"/>
    </row>
    <row r="34" spans="1:7" x14ac:dyDescent="0.3">
      <c r="A34" s="40"/>
      <c r="B34" s="40"/>
      <c r="C34" s="40"/>
      <c r="D34" s="40"/>
      <c r="E34" s="40"/>
      <c r="F34" s="40"/>
      <c r="G34" s="40"/>
    </row>
    <row r="35" spans="1:7" x14ac:dyDescent="0.3">
      <c r="A35" s="40"/>
      <c r="B35" s="40"/>
      <c r="C35" s="40"/>
      <c r="D35" s="40"/>
      <c r="E35" s="40"/>
      <c r="F35" s="40"/>
      <c r="G35" s="40"/>
    </row>
    <row r="36" spans="1:7" x14ac:dyDescent="0.3">
      <c r="A36" s="40"/>
      <c r="B36" s="40"/>
      <c r="C36" s="40"/>
      <c r="D36" s="40"/>
      <c r="E36" s="40"/>
      <c r="F36" s="40"/>
      <c r="G36" s="40"/>
    </row>
  </sheetData>
  <mergeCells count="2">
    <mergeCell ref="K17:L17"/>
    <mergeCell ref="H17:I17"/>
  </mergeCells>
  <phoneticPr fontId="18" type="noConversion"/>
  <hyperlinks>
    <hyperlink ref="G16" r:id="rId1" display="https://tradingeconomics.com/commodities" xr:uid="{2B07F12B-722C-4A0A-94F3-9BC5A8C5050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2C60-CE7D-4B97-AA9E-74134789B053}">
  <dimension ref="A1:N67"/>
  <sheetViews>
    <sheetView zoomScaleNormal="100" workbookViewId="0">
      <selection activeCell="E52" sqref="E52"/>
    </sheetView>
  </sheetViews>
  <sheetFormatPr defaultRowHeight="14" x14ac:dyDescent="0.3"/>
  <cols>
    <col min="1" max="1" width="31.33203125" customWidth="1"/>
    <col min="2" max="2" width="9.6640625" bestFit="1" customWidth="1"/>
    <col min="4" max="4" width="10.1640625" customWidth="1"/>
    <col min="5" max="5" width="34.08203125" customWidth="1"/>
    <col min="6" max="6" width="18.33203125" customWidth="1"/>
    <col min="7" max="7" width="8.75" bestFit="1" customWidth="1"/>
    <col min="9" max="9" width="10.1640625" bestFit="1" customWidth="1"/>
    <col min="12" max="12" width="13.83203125" bestFit="1" customWidth="1"/>
  </cols>
  <sheetData>
    <row r="1" spans="1:14" ht="14.5" thickBot="1" x14ac:dyDescent="0.3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x14ac:dyDescent="0.3">
      <c r="A2" s="155" t="s">
        <v>95</v>
      </c>
      <c r="B2" s="156" t="s">
        <v>96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4.5" thickBot="1" x14ac:dyDescent="0.35">
      <c r="A3" s="157" t="s">
        <v>72</v>
      </c>
      <c r="B3" s="158" t="s">
        <v>97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x14ac:dyDescent="0.3">
      <c r="A4" s="76">
        <v>1</v>
      </c>
      <c r="B4" s="77">
        <v>8.8652300000000004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 x14ac:dyDescent="0.3">
      <c r="A5" s="76">
        <v>2</v>
      </c>
      <c r="B5" s="77">
        <v>30.680499999999999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x14ac:dyDescent="0.3">
      <c r="A6" s="76">
        <v>3</v>
      </c>
      <c r="B6" s="77">
        <v>63.340899999999998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x14ac:dyDescent="0.3">
      <c r="A7" s="76">
        <v>4</v>
      </c>
      <c r="B7" s="77">
        <v>96.855699999999999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14" x14ac:dyDescent="0.3">
      <c r="A8" s="76">
        <v>5</v>
      </c>
      <c r="B8" s="77">
        <v>142.08099999999999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4" x14ac:dyDescent="0.3">
      <c r="A9" s="76">
        <v>6</v>
      </c>
      <c r="B9" s="77">
        <v>189.70099999999999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 x14ac:dyDescent="0.3">
      <c r="A10" s="76">
        <v>7</v>
      </c>
      <c r="B10" s="77">
        <v>244.37200000000001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x14ac:dyDescent="0.3">
      <c r="A11" s="76">
        <v>8</v>
      </c>
      <c r="B11" s="77">
        <v>303.745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 x14ac:dyDescent="0.3">
      <c r="A12" s="76">
        <v>9</v>
      </c>
      <c r="B12" s="77">
        <v>381.82799999999997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1:14" x14ac:dyDescent="0.3">
      <c r="A13" s="76">
        <v>10</v>
      </c>
      <c r="B13" s="77">
        <v>469.66300000000001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14" x14ac:dyDescent="0.3">
      <c r="A14" s="76">
        <v>11</v>
      </c>
      <c r="B14" s="77">
        <v>552.39099999999996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4" x14ac:dyDescent="0.3">
      <c r="A15" s="76">
        <v>11.78</v>
      </c>
      <c r="B15" s="77">
        <v>606.70699999999999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14" x14ac:dyDescent="0.3">
      <c r="A16" s="76">
        <v>12</v>
      </c>
      <c r="B16" s="77">
        <v>551.54700000000003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1:14" x14ac:dyDescent="0.3">
      <c r="A17" s="76">
        <v>13</v>
      </c>
      <c r="B17" s="77">
        <v>473.57100000000003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4" x14ac:dyDescent="0.3">
      <c r="A18" s="76">
        <v>14</v>
      </c>
      <c r="B18" s="77">
        <v>417.46600000000001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1:14" x14ac:dyDescent="0.3">
      <c r="A19" s="76">
        <v>15</v>
      </c>
      <c r="B19" s="77">
        <v>384.82900000000001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1:14" x14ac:dyDescent="0.3">
      <c r="A20" s="76">
        <v>16</v>
      </c>
      <c r="B20" s="77">
        <v>359.69499999999999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1:14" x14ac:dyDescent="0.3">
      <c r="A21" s="76">
        <v>17</v>
      </c>
      <c r="B21" s="77">
        <v>321.30099999999999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spans="1:14" x14ac:dyDescent="0.3">
      <c r="A22" s="76">
        <v>18</v>
      </c>
      <c r="B22" s="77">
        <v>291.82900000000001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14" x14ac:dyDescent="0.3">
      <c r="A23" s="76">
        <v>19</v>
      </c>
      <c r="B23" s="77">
        <v>287.38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spans="1:14" x14ac:dyDescent="0.3">
      <c r="A24" s="76">
        <v>20</v>
      </c>
      <c r="B24" s="77">
        <v>279.64699999999999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5" spans="1:14" x14ac:dyDescent="0.3">
      <c r="A25" s="76">
        <v>21</v>
      </c>
      <c r="B25" s="77">
        <v>272.642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14" x14ac:dyDescent="0.3">
      <c r="A26" s="76">
        <v>22</v>
      </c>
      <c r="B26" s="77">
        <v>265.36599999999999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</row>
    <row r="27" spans="1:14" x14ac:dyDescent="0.3">
      <c r="A27" s="76">
        <v>23</v>
      </c>
      <c r="B27" s="77">
        <v>255.839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spans="1:14" x14ac:dyDescent="0.3">
      <c r="A28" s="76">
        <v>24</v>
      </c>
      <c r="B28" s="77">
        <v>237.172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ht="14.5" thickBot="1" x14ac:dyDescent="0.35">
      <c r="A29" s="78">
        <v>25</v>
      </c>
      <c r="B29" s="79">
        <v>229.83699999999999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</row>
    <row r="30" spans="1:14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</row>
    <row r="31" spans="1:14" ht="14.5" thickBot="1" x14ac:dyDescent="0.3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1:14" x14ac:dyDescent="0.3">
      <c r="A32" s="155" t="s">
        <v>175</v>
      </c>
      <c r="B32" s="162">
        <v>84.61</v>
      </c>
      <c r="C32" s="163" t="s">
        <v>165</v>
      </c>
      <c r="D32" s="147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spans="1:14" x14ac:dyDescent="0.3">
      <c r="A33" s="143" t="s">
        <v>176</v>
      </c>
      <c r="B33" s="40">
        <v>177.715</v>
      </c>
      <c r="C33" s="164" t="s">
        <v>165</v>
      </c>
      <c r="D33" s="147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1:14" x14ac:dyDescent="0.3">
      <c r="A34" s="143" t="s">
        <v>177</v>
      </c>
      <c r="B34" s="40">
        <v>257.93700000000001</v>
      </c>
      <c r="C34" s="164" t="s">
        <v>165</v>
      </c>
      <c r="D34" s="147"/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1:14" x14ac:dyDescent="0.3">
      <c r="A35" s="143" t="s">
        <v>174</v>
      </c>
      <c r="B35" s="165">
        <f>SUM(B32:B34)</f>
        <v>520.26199999999994</v>
      </c>
      <c r="C35" s="164" t="s">
        <v>165</v>
      </c>
      <c r="D35" s="147"/>
      <c r="E35" s="147" t="s">
        <v>189</v>
      </c>
      <c r="F35" s="40">
        <f>B35*1000*B46</f>
        <v>5103770.22</v>
      </c>
      <c r="G35" s="147" t="s">
        <v>190</v>
      </c>
      <c r="H35" s="40"/>
      <c r="I35" s="40"/>
      <c r="J35" s="40"/>
      <c r="K35" s="40"/>
      <c r="L35" s="40"/>
      <c r="M35" s="40"/>
      <c r="N35" s="40"/>
    </row>
    <row r="36" spans="1:14" x14ac:dyDescent="0.3">
      <c r="A36" s="143" t="s">
        <v>167</v>
      </c>
      <c r="B36" s="40">
        <v>1.5</v>
      </c>
      <c r="C36" s="164" t="s">
        <v>12</v>
      </c>
      <c r="D36" s="147"/>
      <c r="E36" s="40"/>
      <c r="F36" s="256"/>
      <c r="G36" s="256"/>
      <c r="H36" s="256"/>
      <c r="I36" s="40"/>
      <c r="J36" s="40"/>
      <c r="K36" s="40"/>
      <c r="L36" s="40"/>
      <c r="M36" s="40"/>
      <c r="N36" s="40"/>
    </row>
    <row r="37" spans="1:14" x14ac:dyDescent="0.3">
      <c r="A37" s="143" t="s">
        <v>168</v>
      </c>
      <c r="B37" s="40">
        <v>1.8</v>
      </c>
      <c r="C37" s="164" t="s">
        <v>12</v>
      </c>
      <c r="D37" s="147"/>
      <c r="L37" s="40"/>
      <c r="M37" s="40"/>
      <c r="N37" s="40"/>
    </row>
    <row r="38" spans="1:14" x14ac:dyDescent="0.3">
      <c r="A38" s="143" t="s">
        <v>166</v>
      </c>
      <c r="B38" s="40">
        <v>79.251999999999995</v>
      </c>
      <c r="C38" s="164" t="s">
        <v>12</v>
      </c>
      <c r="D38" s="147"/>
      <c r="L38" s="40"/>
      <c r="M38" s="40"/>
      <c r="N38" s="40"/>
    </row>
    <row r="39" spans="1:14" x14ac:dyDescent="0.3">
      <c r="A39" s="143" t="s">
        <v>173</v>
      </c>
      <c r="B39" s="40">
        <v>2500</v>
      </c>
      <c r="C39" s="164" t="s">
        <v>169</v>
      </c>
      <c r="D39" s="147"/>
      <c r="L39" s="40"/>
      <c r="M39" s="40"/>
      <c r="N39" s="40"/>
    </row>
    <row r="40" spans="1:14" x14ac:dyDescent="0.3">
      <c r="A40" s="318" t="s">
        <v>170</v>
      </c>
      <c r="B40" s="40">
        <v>2200</v>
      </c>
      <c r="C40" s="164" t="s">
        <v>169</v>
      </c>
      <c r="D40" s="147"/>
      <c r="L40" s="40"/>
      <c r="M40" s="40"/>
      <c r="N40" s="40"/>
    </row>
    <row r="41" spans="1:14" x14ac:dyDescent="0.3">
      <c r="A41" s="143" t="s">
        <v>171</v>
      </c>
      <c r="B41" s="40">
        <f>B15</f>
        <v>606.70699999999999</v>
      </c>
      <c r="C41" s="164" t="s">
        <v>172</v>
      </c>
      <c r="D41" s="147"/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1:14" x14ac:dyDescent="0.3">
      <c r="A42" s="143" t="s">
        <v>178</v>
      </c>
      <c r="B42" s="40">
        <f>B41*(B38+B37+B36)</f>
        <v>50084.876263999991</v>
      </c>
      <c r="C42" s="164" t="s">
        <v>180</v>
      </c>
      <c r="D42" s="147" t="s">
        <v>179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1:14" ht="14.5" customHeight="1" x14ac:dyDescent="0.3">
      <c r="A43" s="318" t="s">
        <v>181</v>
      </c>
      <c r="B43" s="40">
        <f>B36*B39</f>
        <v>3750</v>
      </c>
      <c r="C43" s="164" t="s">
        <v>187</v>
      </c>
      <c r="D43" s="147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1:14" x14ac:dyDescent="0.3">
      <c r="A44" s="143" t="s">
        <v>182</v>
      </c>
      <c r="B44" s="40">
        <f>B37*B40</f>
        <v>3960</v>
      </c>
      <c r="C44" s="164" t="s">
        <v>187</v>
      </c>
      <c r="D44" s="147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1:14" x14ac:dyDescent="0.3">
      <c r="A45" s="143" t="s">
        <v>183</v>
      </c>
      <c r="B45" s="40">
        <f>B43+B44</f>
        <v>7710</v>
      </c>
      <c r="C45" s="164" t="s">
        <v>187</v>
      </c>
      <c r="D45" s="147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1:14" x14ac:dyDescent="0.3">
      <c r="A46" s="143" t="s">
        <v>185</v>
      </c>
      <c r="B46" s="40">
        <v>9.81</v>
      </c>
      <c r="C46" s="164" t="s">
        <v>186</v>
      </c>
      <c r="D46" s="147"/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1:14" ht="14.5" thickBot="1" x14ac:dyDescent="0.35">
      <c r="A47" s="143" t="s">
        <v>184</v>
      </c>
      <c r="B47" s="40">
        <f>B45*B46</f>
        <v>75635.100000000006</v>
      </c>
      <c r="C47" s="164" t="s">
        <v>188</v>
      </c>
      <c r="D47" s="147"/>
      <c r="E47" s="40"/>
      <c r="M47" s="40"/>
      <c r="N47" s="40"/>
    </row>
    <row r="48" spans="1:14" x14ac:dyDescent="0.3">
      <c r="A48" s="143" t="s">
        <v>191</v>
      </c>
      <c r="B48" s="42">
        <f>B47/2</f>
        <v>37817.550000000003</v>
      </c>
      <c r="C48" s="164" t="s">
        <v>195</v>
      </c>
      <c r="D48" s="147" t="s">
        <v>194</v>
      </c>
      <c r="E48" s="108" t="s">
        <v>198</v>
      </c>
      <c r="F48" s="109">
        <f>B47/2</f>
        <v>37817.550000000003</v>
      </c>
      <c r="G48" s="160" t="s">
        <v>376</v>
      </c>
      <c r="H48" s="109">
        <f>F35/2</f>
        <v>2551885.11</v>
      </c>
      <c r="I48" s="160" t="s">
        <v>199</v>
      </c>
      <c r="J48" s="163" t="s">
        <v>200</v>
      </c>
      <c r="K48" s="40"/>
      <c r="M48" s="40"/>
      <c r="N48" s="40"/>
    </row>
    <row r="49" spans="1:14" ht="14.5" thickBot="1" x14ac:dyDescent="0.35">
      <c r="A49" s="157" t="s">
        <v>196</v>
      </c>
      <c r="B49" s="57">
        <f>((3*B42*1000)/B48)^(1/3)</f>
        <v>15.838406678780283</v>
      </c>
      <c r="C49" s="161" t="s">
        <v>197</v>
      </c>
      <c r="D49" s="147" t="s">
        <v>377</v>
      </c>
      <c r="E49" s="112" t="s">
        <v>196</v>
      </c>
      <c r="F49" s="57">
        <v>14.422397303058062</v>
      </c>
      <c r="G49" s="57"/>
      <c r="H49" s="57"/>
      <c r="I49" s="57"/>
      <c r="J49" s="161" t="s">
        <v>197</v>
      </c>
      <c r="K49" s="147" t="s">
        <v>378</v>
      </c>
      <c r="M49" s="40"/>
      <c r="N49" s="40"/>
    </row>
    <row r="50" spans="1:14" x14ac:dyDescent="0.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M50" s="40"/>
      <c r="N50" s="40"/>
    </row>
    <row r="51" spans="1:14" x14ac:dyDescent="0.3">
      <c r="A51" s="40"/>
      <c r="B51" s="40"/>
      <c r="C51" s="40"/>
      <c r="D51" s="40"/>
      <c r="E51" s="40"/>
      <c r="F51" s="40"/>
      <c r="G51" s="40"/>
      <c r="H51" s="40"/>
      <c r="I51" s="40" t="s">
        <v>352</v>
      </c>
      <c r="J51" s="40"/>
      <c r="K51" s="40">
        <f>F48*(F49^3)+H48*F49-3*1000*B42</f>
        <v>-1.2725591659545898E-5</v>
      </c>
      <c r="M51" s="40"/>
      <c r="N51" s="40"/>
    </row>
    <row r="52" spans="1:14" ht="14.5" thickBot="1" x14ac:dyDescent="0.35">
      <c r="A52" s="40"/>
      <c r="B52" s="40"/>
      <c r="C52" s="40"/>
      <c r="D52" s="40"/>
      <c r="E52" s="40"/>
      <c r="M52" s="40"/>
      <c r="N52" s="40"/>
    </row>
    <row r="53" spans="1:14" x14ac:dyDescent="0.3">
      <c r="A53" s="155" t="s">
        <v>451</v>
      </c>
      <c r="B53" s="109"/>
      <c r="C53" s="110"/>
      <c r="D53" s="40"/>
      <c r="E53" s="40"/>
      <c r="M53" s="40"/>
      <c r="N53" s="40"/>
    </row>
    <row r="54" spans="1:14" x14ac:dyDescent="0.3">
      <c r="A54" s="143" t="s">
        <v>452</v>
      </c>
      <c r="B54" s="40">
        <f>(F49/2)^2*PI()*B36</f>
        <v>245.05075831255562</v>
      </c>
      <c r="C54" s="77" t="s">
        <v>453</v>
      </c>
      <c r="D54" s="40"/>
      <c r="E54" s="40"/>
      <c r="G54" s="40"/>
      <c r="H54" s="40"/>
      <c r="I54" s="40"/>
      <c r="J54" s="40"/>
      <c r="K54" s="40"/>
      <c r="L54" s="40"/>
      <c r="M54" s="40"/>
      <c r="N54" s="40"/>
    </row>
    <row r="55" spans="1:14" x14ac:dyDescent="0.3">
      <c r="A55" s="143" t="s">
        <v>459</v>
      </c>
      <c r="B55" s="40">
        <v>40</v>
      </c>
      <c r="C55" s="77" t="s">
        <v>165</v>
      </c>
      <c r="D55" s="40" t="s">
        <v>528</v>
      </c>
      <c r="E55" s="40"/>
      <c r="G55" s="40"/>
      <c r="H55" s="40"/>
      <c r="I55" s="40"/>
      <c r="J55" s="40"/>
      <c r="K55" s="40"/>
      <c r="L55" s="40"/>
      <c r="M55" s="40"/>
      <c r="N55" s="40"/>
    </row>
    <row r="56" spans="1:14" x14ac:dyDescent="0.3">
      <c r="A56" s="143" t="s">
        <v>454</v>
      </c>
      <c r="B56" s="40"/>
      <c r="C56" s="77"/>
      <c r="D56" s="40"/>
      <c r="E56" s="40"/>
      <c r="G56" s="40"/>
      <c r="H56" s="40"/>
      <c r="I56" s="40"/>
      <c r="J56" s="40"/>
      <c r="K56" s="40"/>
      <c r="L56" s="40"/>
      <c r="M56" s="40"/>
      <c r="N56" s="40"/>
    </row>
    <row r="57" spans="1:14" x14ac:dyDescent="0.3">
      <c r="A57" s="143" t="s">
        <v>460</v>
      </c>
      <c r="B57" s="40">
        <v>115</v>
      </c>
      <c r="C57" s="77" t="s">
        <v>461</v>
      </c>
      <c r="D57" s="251" t="s">
        <v>455</v>
      </c>
      <c r="E57" s="40"/>
      <c r="G57" s="40"/>
      <c r="H57" s="40"/>
      <c r="I57" s="40"/>
      <c r="J57" s="40"/>
      <c r="K57" s="40"/>
      <c r="L57" s="40"/>
      <c r="M57" s="40"/>
      <c r="N57" s="40"/>
    </row>
    <row r="58" spans="1:14" x14ac:dyDescent="0.3">
      <c r="A58" s="143" t="s">
        <v>456</v>
      </c>
      <c r="B58" s="40">
        <f>3848*0.12</f>
        <v>461.76</v>
      </c>
      <c r="C58" s="77" t="s">
        <v>462</v>
      </c>
      <c r="D58" s="40"/>
      <c r="E58" s="40"/>
      <c r="G58" s="40"/>
      <c r="H58" s="40"/>
      <c r="I58" s="40"/>
      <c r="J58" s="40"/>
      <c r="K58" s="40"/>
      <c r="L58" s="40"/>
      <c r="M58" s="40"/>
      <c r="N58" s="40"/>
    </row>
    <row r="59" spans="1:14" x14ac:dyDescent="0.3">
      <c r="A59" s="143" t="s">
        <v>457</v>
      </c>
      <c r="B59" s="40">
        <f>B57*B54</f>
        <v>28180.837205943895</v>
      </c>
      <c r="C59" s="77" t="s">
        <v>192</v>
      </c>
      <c r="D59" s="40"/>
      <c r="E59" s="40"/>
      <c r="G59" s="40"/>
      <c r="H59" s="40"/>
      <c r="I59" s="40"/>
      <c r="J59" s="40"/>
      <c r="K59" s="40"/>
      <c r="L59" s="40"/>
      <c r="M59" s="40"/>
      <c r="N59" s="40"/>
    </row>
    <row r="60" spans="1:14" x14ac:dyDescent="0.3">
      <c r="A60" s="143" t="s">
        <v>456</v>
      </c>
      <c r="B60" s="40">
        <f>B55*B58</f>
        <v>18470.400000000001</v>
      </c>
      <c r="C60" s="77" t="s">
        <v>192</v>
      </c>
      <c r="D60" s="40"/>
      <c r="E60" s="40"/>
      <c r="G60" s="40"/>
      <c r="H60" s="40"/>
      <c r="I60" s="40"/>
      <c r="J60" s="40"/>
      <c r="K60" s="40"/>
      <c r="L60" s="40"/>
      <c r="M60" s="40"/>
      <c r="N60" s="40"/>
    </row>
    <row r="61" spans="1:14" ht="14.5" thickBot="1" x14ac:dyDescent="0.35">
      <c r="A61" s="157" t="s">
        <v>458</v>
      </c>
      <c r="B61" s="57">
        <f>SUM(B59:B60)</f>
        <v>46651.237205943893</v>
      </c>
      <c r="C61" s="79" t="s">
        <v>192</v>
      </c>
      <c r="D61" s="40"/>
      <c r="E61" s="40"/>
      <c r="G61" s="40"/>
      <c r="H61" s="40"/>
      <c r="I61" s="40"/>
      <c r="J61" s="40"/>
      <c r="K61" s="40"/>
      <c r="L61" s="40"/>
      <c r="M61" s="40"/>
      <c r="N61" s="40"/>
    </row>
    <row r="62" spans="1:14" x14ac:dyDescent="0.3">
      <c r="D62" s="40"/>
      <c r="E62" s="40"/>
      <c r="G62" s="40"/>
      <c r="H62" s="40"/>
      <c r="I62" s="40"/>
      <c r="J62" s="40"/>
      <c r="K62" s="40"/>
      <c r="L62" s="40"/>
      <c r="M62" s="40"/>
      <c r="N62" s="40"/>
    </row>
    <row r="63" spans="1:14" x14ac:dyDescent="0.3">
      <c r="D63" s="40"/>
      <c r="E63" s="40"/>
    </row>
    <row r="64" spans="1:14" x14ac:dyDescent="0.3">
      <c r="D64" s="40"/>
      <c r="E64" s="40"/>
    </row>
    <row r="65" spans="1:5" x14ac:dyDescent="0.3">
      <c r="A65" s="40"/>
      <c r="B65" s="40"/>
      <c r="C65" s="40"/>
      <c r="D65" s="40"/>
      <c r="E65" s="40"/>
    </row>
    <row r="66" spans="1:5" x14ac:dyDescent="0.3">
      <c r="A66" s="40"/>
      <c r="B66" s="40"/>
      <c r="C66" s="40"/>
      <c r="D66" s="40"/>
      <c r="E66" s="40"/>
    </row>
    <row r="67" spans="1:5" x14ac:dyDescent="0.3">
      <c r="A67" s="40"/>
      <c r="B67" s="40"/>
      <c r="C67" s="40"/>
      <c r="D67" s="40"/>
      <c r="E67" s="40"/>
    </row>
  </sheetData>
  <mergeCells count="1">
    <mergeCell ref="F36:H36"/>
  </mergeCells>
  <phoneticPr fontId="18" type="noConversion"/>
  <hyperlinks>
    <hyperlink ref="D57" r:id="rId1" display="https://www.misterconcrete.co.uk/ready-mix-concrete-prices" xr:uid="{00D3A63B-48C5-46F4-A717-CFBA364B01DD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6DDB-0B09-4F3A-AF70-45990D3A9ED9}">
  <dimension ref="A1:G35"/>
  <sheetViews>
    <sheetView workbookViewId="0">
      <selection activeCell="S17" sqref="S17"/>
    </sheetView>
  </sheetViews>
  <sheetFormatPr defaultRowHeight="14" x14ac:dyDescent="0.3"/>
  <cols>
    <col min="1" max="2" width="8.75" bestFit="1" customWidth="1"/>
    <col min="3" max="3" width="13.83203125" customWidth="1"/>
    <col min="4" max="4" width="8.75" bestFit="1" customWidth="1"/>
    <col min="5" max="5" width="14.08203125" customWidth="1"/>
    <col min="6" max="6" width="11.58203125" bestFit="1" customWidth="1"/>
    <col min="7" max="7" width="12.4140625" customWidth="1"/>
  </cols>
  <sheetData>
    <row r="1" spans="1:7" ht="47.5" customHeight="1" thickBot="1" x14ac:dyDescent="0.35">
      <c r="A1" s="139" t="s">
        <v>209</v>
      </c>
      <c r="B1" s="125" t="s">
        <v>210</v>
      </c>
      <c r="C1" s="125" t="s">
        <v>211</v>
      </c>
      <c r="D1" s="125" t="s">
        <v>347</v>
      </c>
      <c r="E1" s="125" t="s">
        <v>348</v>
      </c>
      <c r="F1" s="140" t="s">
        <v>349</v>
      </c>
      <c r="G1" s="40"/>
    </row>
    <row r="2" spans="1:7" x14ac:dyDescent="0.3">
      <c r="A2" s="117">
        <v>0</v>
      </c>
      <c r="B2" s="109">
        <v>0.5</v>
      </c>
      <c r="C2" s="109">
        <v>49.270116042165299</v>
      </c>
      <c r="D2" s="109">
        <v>0</v>
      </c>
      <c r="E2" s="109">
        <f>Curves!B62</f>
        <v>0</v>
      </c>
      <c r="F2" s="110">
        <f t="shared" ref="F2:F27" si="0">C2*E2</f>
        <v>0</v>
      </c>
      <c r="G2" s="40"/>
    </row>
    <row r="3" spans="1:7" x14ac:dyDescent="0.3">
      <c r="A3" s="76">
        <v>0.5</v>
      </c>
      <c r="B3" s="40">
        <v>1.5</v>
      </c>
      <c r="C3" s="40">
        <v>384.31454513614852</v>
      </c>
      <c r="D3" s="40">
        <v>1</v>
      </c>
      <c r="E3" s="40">
        <f>Curves!B63</f>
        <v>0</v>
      </c>
      <c r="F3" s="77">
        <f t="shared" si="0"/>
        <v>0</v>
      </c>
      <c r="G3" s="40"/>
    </row>
    <row r="4" spans="1:7" x14ac:dyDescent="0.3">
      <c r="A4" s="76">
        <v>1.5</v>
      </c>
      <c r="B4" s="40">
        <v>2.5</v>
      </c>
      <c r="C4" s="40">
        <v>718.50968100449222</v>
      </c>
      <c r="D4" s="40">
        <v>2</v>
      </c>
      <c r="E4" s="40">
        <f>Curves!B64</f>
        <v>0</v>
      </c>
      <c r="F4" s="77">
        <f t="shared" si="0"/>
        <v>0</v>
      </c>
      <c r="G4" s="40"/>
    </row>
    <row r="5" spans="1:7" x14ac:dyDescent="0.3">
      <c r="A5" s="76">
        <v>2.5</v>
      </c>
      <c r="B5" s="40">
        <v>3.5</v>
      </c>
      <c r="C5" s="40">
        <v>963.20087769970701</v>
      </c>
      <c r="D5" s="40">
        <v>3</v>
      </c>
      <c r="E5" s="40">
        <f>Curves!B65</f>
        <v>41.3979</v>
      </c>
      <c r="F5" s="77">
        <f t="shared" si="0"/>
        <v>39874.493614924701</v>
      </c>
      <c r="G5" s="40"/>
    </row>
    <row r="6" spans="1:7" x14ac:dyDescent="0.3">
      <c r="A6" s="76">
        <v>3.5</v>
      </c>
      <c r="B6" s="40">
        <v>4.5</v>
      </c>
      <c r="C6" s="40">
        <v>1097.3008988234203</v>
      </c>
      <c r="D6" s="40">
        <v>4</v>
      </c>
      <c r="E6" s="40">
        <f>Curves!B66</f>
        <v>170.09899999999999</v>
      </c>
      <c r="F6" s="77">
        <f t="shared" si="0"/>
        <v>186649.78558896497</v>
      </c>
      <c r="G6" s="40"/>
    </row>
    <row r="7" spans="1:7" x14ac:dyDescent="0.3">
      <c r="A7" s="76">
        <v>4.5</v>
      </c>
      <c r="B7" s="40">
        <v>5.5</v>
      </c>
      <c r="C7" s="40">
        <v>1120.4254533246835</v>
      </c>
      <c r="D7" s="40">
        <v>5</v>
      </c>
      <c r="E7" s="40">
        <f>Curves!B67</f>
        <v>343.608</v>
      </c>
      <c r="F7" s="77">
        <f t="shared" si="0"/>
        <v>384987.14916598785</v>
      </c>
      <c r="G7" s="40"/>
    </row>
    <row r="8" spans="1:7" x14ac:dyDescent="0.3">
      <c r="A8" s="76">
        <v>5.5</v>
      </c>
      <c r="B8" s="40">
        <v>6.5</v>
      </c>
      <c r="C8" s="40">
        <v>1049.9979551872757</v>
      </c>
      <c r="D8" s="40">
        <v>6</v>
      </c>
      <c r="E8" s="40">
        <f>Curves!B68</f>
        <v>641.89400000000001</v>
      </c>
      <c r="F8" s="77">
        <f t="shared" si="0"/>
        <v>673987.38744698116</v>
      </c>
      <c r="G8" s="40"/>
    </row>
    <row r="9" spans="1:7" x14ac:dyDescent="0.3">
      <c r="A9" s="76">
        <v>6.5</v>
      </c>
      <c r="B9" s="40">
        <v>7.5</v>
      </c>
      <c r="C9" s="40">
        <v>914.61100812964719</v>
      </c>
      <c r="D9" s="40">
        <v>7</v>
      </c>
      <c r="E9" s="40">
        <f>Curves!B69</f>
        <v>1034.53</v>
      </c>
      <c r="F9" s="77">
        <f t="shared" si="0"/>
        <v>946192.52624036383</v>
      </c>
      <c r="G9" s="40"/>
    </row>
    <row r="10" spans="1:7" x14ac:dyDescent="0.3">
      <c r="A10" s="76">
        <v>7.5</v>
      </c>
      <c r="B10" s="40">
        <v>8.5</v>
      </c>
      <c r="C10" s="40">
        <v>746.11607327906268</v>
      </c>
      <c r="D10" s="40">
        <v>8</v>
      </c>
      <c r="E10" s="40">
        <f>Curves!B70</f>
        <v>1556.85</v>
      </c>
      <c r="F10" s="77">
        <f t="shared" si="0"/>
        <v>1161590.8086845085</v>
      </c>
      <c r="G10" s="40"/>
    </row>
    <row r="11" spans="1:7" x14ac:dyDescent="0.3">
      <c r="A11" s="76">
        <v>8.5</v>
      </c>
      <c r="B11" s="40">
        <v>9.5</v>
      </c>
      <c r="C11" s="40">
        <v>572.81406758676769</v>
      </c>
      <c r="D11" s="40">
        <v>9</v>
      </c>
      <c r="E11" s="40">
        <f>Curves!B71</f>
        <v>2209.27</v>
      </c>
      <c r="F11" s="77">
        <f t="shared" si="0"/>
        <v>1265500.9350974183</v>
      </c>
      <c r="G11" s="40"/>
    </row>
    <row r="12" spans="1:7" x14ac:dyDescent="0.3">
      <c r="A12" s="76">
        <v>9.5</v>
      </c>
      <c r="B12" s="40">
        <v>10.5</v>
      </c>
      <c r="C12" s="40">
        <v>415.24319931719151</v>
      </c>
      <c r="D12" s="40">
        <v>10</v>
      </c>
      <c r="E12" s="40">
        <f>Curves!B72</f>
        <v>3029.67</v>
      </c>
      <c r="F12" s="77">
        <f t="shared" si="0"/>
        <v>1258049.8636753156</v>
      </c>
      <c r="G12" s="40"/>
    </row>
    <row r="13" spans="1:7" x14ac:dyDescent="0.3">
      <c r="A13" s="76">
        <v>10.5</v>
      </c>
      <c r="B13" s="40">
        <v>11.5</v>
      </c>
      <c r="C13" s="40">
        <v>284.90694897222244</v>
      </c>
      <c r="D13" s="40">
        <v>11</v>
      </c>
      <c r="E13" s="40">
        <f>Curves!B73</f>
        <v>4039.22</v>
      </c>
      <c r="F13" s="77">
        <f t="shared" si="0"/>
        <v>1150801.8464275803</v>
      </c>
      <c r="G13" s="40"/>
    </row>
    <row r="14" spans="1:7" x14ac:dyDescent="0.3">
      <c r="A14" s="76">
        <v>11.5</v>
      </c>
      <c r="B14" s="40">
        <v>12.5</v>
      </c>
      <c r="C14" s="40">
        <v>185.3428095006696</v>
      </c>
      <c r="D14" s="40">
        <v>12</v>
      </c>
      <c r="E14" s="40">
        <f>Curves!B75</f>
        <v>4841.82</v>
      </c>
      <c r="F14" s="77">
        <f t="shared" si="0"/>
        <v>897396.52189653204</v>
      </c>
      <c r="G14" s="40"/>
    </row>
    <row r="15" spans="1:7" x14ac:dyDescent="0.3">
      <c r="A15" s="76">
        <v>12.5</v>
      </c>
      <c r="B15" s="40">
        <v>13.5</v>
      </c>
      <c r="C15" s="40">
        <v>114.4716991368514</v>
      </c>
      <c r="D15" s="40">
        <v>13</v>
      </c>
      <c r="E15" s="40">
        <f>Curves!B76</f>
        <v>4909.54</v>
      </c>
      <c r="F15" s="77">
        <f t="shared" si="0"/>
        <v>562003.38578033738</v>
      </c>
      <c r="G15" s="40"/>
    </row>
    <row r="16" spans="1:7" x14ac:dyDescent="0.3">
      <c r="A16" s="76">
        <v>13.5</v>
      </c>
      <c r="B16" s="40">
        <v>14.5</v>
      </c>
      <c r="C16" s="40">
        <v>67.192229664116809</v>
      </c>
      <c r="D16" s="40">
        <v>14</v>
      </c>
      <c r="E16" s="40">
        <f>Curves!B77</f>
        <v>4854.33</v>
      </c>
      <c r="F16" s="77">
        <f t="shared" si="0"/>
        <v>326173.25622541213</v>
      </c>
      <c r="G16" s="40"/>
    </row>
    <row r="17" spans="1:7" x14ac:dyDescent="0.3">
      <c r="A17" s="76">
        <v>14.5</v>
      </c>
      <c r="B17" s="40">
        <v>15.5</v>
      </c>
      <c r="C17" s="40">
        <v>37.51407812618686</v>
      </c>
      <c r="D17" s="40">
        <v>15</v>
      </c>
      <c r="E17" s="40">
        <f>Curves!B78</f>
        <v>4894.49</v>
      </c>
      <c r="F17" s="77">
        <f t="shared" si="0"/>
        <v>183612.2802478403</v>
      </c>
      <c r="G17" s="40"/>
    </row>
    <row r="18" spans="1:7" x14ac:dyDescent="0.3">
      <c r="A18" s="76">
        <v>15.5</v>
      </c>
      <c r="B18" s="40">
        <v>16.5</v>
      </c>
      <c r="C18" s="40">
        <v>19.934739127083709</v>
      </c>
      <c r="D18" s="40">
        <v>16</v>
      </c>
      <c r="E18" s="40">
        <f>Curves!B79</f>
        <v>4846.33</v>
      </c>
      <c r="F18" s="77">
        <f t="shared" si="0"/>
        <v>96610.324273759587</v>
      </c>
      <c r="G18" s="40"/>
    </row>
    <row r="19" spans="1:7" x14ac:dyDescent="0.3">
      <c r="A19" s="76">
        <v>16.5</v>
      </c>
      <c r="B19" s="40">
        <v>17.5</v>
      </c>
      <c r="C19" s="40">
        <v>10.087937395303509</v>
      </c>
      <c r="D19" s="40">
        <v>17</v>
      </c>
      <c r="E19" s="40">
        <f>Curves!B80</f>
        <v>4864.93</v>
      </c>
      <c r="F19" s="77">
        <f t="shared" si="0"/>
        <v>49077.109272533904</v>
      </c>
      <c r="G19" s="40"/>
    </row>
    <row r="20" spans="1:7" x14ac:dyDescent="0.3">
      <c r="A20" s="76">
        <v>17.5</v>
      </c>
      <c r="B20" s="40">
        <v>18.5</v>
      </c>
      <c r="C20" s="40">
        <v>4.863668164762327</v>
      </c>
      <c r="D20" s="40">
        <v>18</v>
      </c>
      <c r="E20" s="40">
        <f>Curves!B81</f>
        <v>4981.1499999999996</v>
      </c>
      <c r="F20" s="77">
        <f t="shared" si="0"/>
        <v>24226.660678905864</v>
      </c>
      <c r="G20" s="40"/>
    </row>
    <row r="21" spans="1:7" x14ac:dyDescent="0.3">
      <c r="A21" s="76">
        <v>18.5</v>
      </c>
      <c r="B21" s="40">
        <v>19.5</v>
      </c>
      <c r="C21" s="40">
        <v>2.234898727588289</v>
      </c>
      <c r="D21" s="40">
        <v>19</v>
      </c>
      <c r="E21" s="40">
        <f>Curves!B82</f>
        <v>4968.1400000000003</v>
      </c>
      <c r="F21" s="77">
        <f t="shared" si="0"/>
        <v>11103.289764480483</v>
      </c>
      <c r="G21" s="40"/>
    </row>
    <row r="22" spans="1:7" x14ac:dyDescent="0.3">
      <c r="A22" s="76">
        <v>19.5</v>
      </c>
      <c r="B22" s="40">
        <v>20.5</v>
      </c>
      <c r="C22" s="40">
        <v>0.97908779682546387</v>
      </c>
      <c r="D22" s="40">
        <v>20</v>
      </c>
      <c r="E22" s="40">
        <f>Curves!B83</f>
        <v>4867.9799999999996</v>
      </c>
      <c r="F22" s="77">
        <f t="shared" si="0"/>
        <v>4766.1798131904216</v>
      </c>
      <c r="G22" s="40"/>
    </row>
    <row r="23" spans="1:7" x14ac:dyDescent="0.3">
      <c r="A23" s="76">
        <v>20.5</v>
      </c>
      <c r="B23" s="40">
        <v>21.5</v>
      </c>
      <c r="C23" s="40">
        <v>0.40904645658915667</v>
      </c>
      <c r="D23" s="40">
        <v>21</v>
      </c>
      <c r="E23" s="40">
        <f>Curves!B84</f>
        <v>4898.2</v>
      </c>
      <c r="F23" s="77">
        <f t="shared" si="0"/>
        <v>2003.5913536650071</v>
      </c>
      <c r="G23" s="40"/>
    </row>
    <row r="24" spans="1:7" x14ac:dyDescent="0.3">
      <c r="A24" s="76">
        <v>21.5</v>
      </c>
      <c r="B24" s="40">
        <v>22.5</v>
      </c>
      <c r="C24" s="40">
        <v>0.1630090570299223</v>
      </c>
      <c r="D24" s="40">
        <v>22</v>
      </c>
      <c r="E24" s="40">
        <f>Curves!B85</f>
        <v>4978.8500000000004</v>
      </c>
      <c r="F24" s="77">
        <f t="shared" si="0"/>
        <v>811.59764359342876</v>
      </c>
      <c r="G24" s="40"/>
    </row>
    <row r="25" spans="1:7" x14ac:dyDescent="0.3">
      <c r="A25" s="76">
        <v>22.5</v>
      </c>
      <c r="B25" s="40">
        <v>23.5</v>
      </c>
      <c r="C25" s="40">
        <v>6.197639642360081E-2</v>
      </c>
      <c r="D25" s="40">
        <v>23</v>
      </c>
      <c r="E25" s="40">
        <f>Curves!B86</f>
        <v>4932.38</v>
      </c>
      <c r="F25" s="77">
        <f t="shared" si="0"/>
        <v>305.6911381918402</v>
      </c>
      <c r="G25" s="40"/>
    </row>
    <row r="26" spans="1:7" x14ac:dyDescent="0.3">
      <c r="A26" s="76">
        <v>23.5</v>
      </c>
      <c r="B26" s="40">
        <v>24.5</v>
      </c>
      <c r="C26" s="40">
        <v>2.2484982927574872E-2</v>
      </c>
      <c r="D26" s="40">
        <v>24</v>
      </c>
      <c r="E26" s="40">
        <f>Curves!B87</f>
        <v>4917.32</v>
      </c>
      <c r="F26" s="77">
        <f t="shared" si="0"/>
        <v>110.56585624942247</v>
      </c>
      <c r="G26" s="40"/>
    </row>
    <row r="27" spans="1:7" x14ac:dyDescent="0.3">
      <c r="A27" s="76">
        <v>24.5</v>
      </c>
      <c r="B27" s="40">
        <v>25.5</v>
      </c>
      <c r="C27" s="40">
        <v>7.7853339614035568E-3</v>
      </c>
      <c r="D27" s="40">
        <v>25</v>
      </c>
      <c r="E27" s="40">
        <f>Curves!B88</f>
        <v>4995.8599999999997</v>
      </c>
      <c r="F27" s="77">
        <f t="shared" si="0"/>
        <v>38.894438524417573</v>
      </c>
      <c r="G27" s="40"/>
    </row>
    <row r="28" spans="1:7" x14ac:dyDescent="0.3">
      <c r="A28" s="76">
        <v>25.5</v>
      </c>
      <c r="B28" s="40">
        <v>26.5</v>
      </c>
      <c r="C28" s="40">
        <v>2.5729968357459921E-3</v>
      </c>
      <c r="D28" s="40"/>
      <c r="E28" s="40"/>
      <c r="F28" s="77"/>
      <c r="G28" s="40"/>
    </row>
    <row r="29" spans="1:7" x14ac:dyDescent="0.3">
      <c r="A29" s="76">
        <v>26.5</v>
      </c>
      <c r="B29" s="40">
        <v>27.5</v>
      </c>
      <c r="C29" s="40">
        <v>8.1176577572557838E-4</v>
      </c>
      <c r="D29" s="40"/>
      <c r="E29" s="40"/>
      <c r="F29" s="77"/>
      <c r="G29" s="40"/>
    </row>
    <row r="30" spans="1:7" ht="14.5" thickBot="1" x14ac:dyDescent="0.35">
      <c r="A30" s="76">
        <v>27.5</v>
      </c>
      <c r="B30" s="40">
        <v>28.5</v>
      </c>
      <c r="C30" s="40">
        <v>2.4451084200294466E-4</v>
      </c>
      <c r="D30" s="57"/>
      <c r="E30" s="57"/>
      <c r="F30" s="79"/>
      <c r="G30" s="40"/>
    </row>
    <row r="31" spans="1:7" x14ac:dyDescent="0.3">
      <c r="A31" s="76">
        <v>28.5</v>
      </c>
      <c r="B31" s="40">
        <v>29.5</v>
      </c>
      <c r="C31" s="40">
        <v>7.0320651547331079E-5</v>
      </c>
      <c r="D31" s="138" t="s">
        <v>350</v>
      </c>
      <c r="E31" s="40"/>
      <c r="F31" s="77">
        <f>SUM(F2:F27)</f>
        <v>9225874.1443252619</v>
      </c>
      <c r="G31" s="40"/>
    </row>
    <row r="32" spans="1:7" ht="14.5" thickBot="1" x14ac:dyDescent="0.35">
      <c r="A32" s="78">
        <v>29.5</v>
      </c>
      <c r="B32" s="57">
        <v>30.5</v>
      </c>
      <c r="C32" s="57">
        <v>1.9311777393040666E-5</v>
      </c>
      <c r="D32" s="78" t="s">
        <v>351</v>
      </c>
      <c r="E32" s="57"/>
      <c r="F32" s="79">
        <f>3*F31</f>
        <v>27677622.432975784</v>
      </c>
      <c r="G32" s="40"/>
    </row>
    <row r="33" spans="1:7" x14ac:dyDescent="0.3">
      <c r="A33" s="40"/>
      <c r="B33" s="40"/>
      <c r="C33" s="40"/>
      <c r="D33" s="40"/>
      <c r="E33" s="40"/>
      <c r="F33" s="40"/>
      <c r="G33" s="40"/>
    </row>
    <row r="34" spans="1:7" x14ac:dyDescent="0.3">
      <c r="A34" s="40"/>
      <c r="B34" s="40"/>
      <c r="C34" s="40"/>
      <c r="D34" s="40"/>
      <c r="E34" s="40"/>
      <c r="F34" s="40"/>
      <c r="G34" s="40"/>
    </row>
    <row r="35" spans="1:7" x14ac:dyDescent="0.3">
      <c r="A35" s="40"/>
      <c r="B35" s="40"/>
      <c r="C35" s="40"/>
      <c r="D35" s="40"/>
      <c r="E35" s="40"/>
      <c r="F35" s="40"/>
      <c r="G35" s="40"/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30" zoomScaleNormal="130" workbookViewId="0">
      <selection activeCell="D13" sqref="D13"/>
    </sheetView>
  </sheetViews>
  <sheetFormatPr defaultRowHeight="14" x14ac:dyDescent="0.3"/>
  <cols>
    <col min="1" max="1" width="18" customWidth="1"/>
  </cols>
  <sheetData>
    <row r="1" spans="1:5" x14ac:dyDescent="0.3">
      <c r="A1" s="322" t="s">
        <v>70</v>
      </c>
      <c r="B1" s="109">
        <v>11.603999999999999</v>
      </c>
      <c r="C1" s="110" t="s">
        <v>72</v>
      </c>
      <c r="D1" s="286"/>
      <c r="E1" s="40"/>
    </row>
    <row r="2" spans="1:5" x14ac:dyDescent="0.3">
      <c r="A2" s="76" t="s">
        <v>30</v>
      </c>
      <c r="B2" s="323">
        <v>2.99</v>
      </c>
      <c r="C2" s="77" t="s">
        <v>71</v>
      </c>
      <c r="D2" s="310"/>
      <c r="E2" s="40"/>
    </row>
    <row r="3" spans="1:5" x14ac:dyDescent="0.3">
      <c r="A3" s="76" t="s">
        <v>31</v>
      </c>
      <c r="B3" s="310">
        <f>100.45-96.925</f>
        <v>3.5250000000000057</v>
      </c>
      <c r="C3" s="77" t="s">
        <v>29</v>
      </c>
      <c r="D3" s="310"/>
      <c r="E3" s="40"/>
    </row>
    <row r="4" spans="1:5" x14ac:dyDescent="0.3">
      <c r="A4" s="76"/>
      <c r="B4" s="310"/>
      <c r="C4" s="77"/>
      <c r="D4" s="310"/>
      <c r="E4" s="40"/>
    </row>
    <row r="5" spans="1:5" x14ac:dyDescent="0.3">
      <c r="A5" s="76"/>
      <c r="B5" s="310"/>
      <c r="C5" s="77"/>
      <c r="D5" s="310"/>
      <c r="E5" s="40"/>
    </row>
    <row r="6" spans="1:5" x14ac:dyDescent="0.3">
      <c r="A6" s="76" t="s">
        <v>32</v>
      </c>
      <c r="B6" s="310">
        <f>0.45*B2</f>
        <v>1.3455000000000001</v>
      </c>
      <c r="C6" s="77" t="s">
        <v>29</v>
      </c>
      <c r="D6" s="310"/>
      <c r="E6" s="40"/>
    </row>
    <row r="7" spans="1:5" x14ac:dyDescent="0.3">
      <c r="A7" s="76"/>
      <c r="B7" s="310"/>
      <c r="C7" s="77"/>
      <c r="D7" s="310"/>
      <c r="E7" s="40"/>
    </row>
    <row r="8" spans="1:5" x14ac:dyDescent="0.3">
      <c r="A8" s="76"/>
      <c r="B8" s="310"/>
      <c r="C8" s="77"/>
      <c r="D8" s="310"/>
      <c r="E8" s="40"/>
    </row>
    <row r="9" spans="1:5" x14ac:dyDescent="0.3">
      <c r="A9" s="76" t="s">
        <v>33</v>
      </c>
      <c r="B9" s="324">
        <f>0.54*B2/B3</f>
        <v>0.45804255319148868</v>
      </c>
      <c r="C9" s="77"/>
      <c r="D9" s="310"/>
      <c r="E9" s="40"/>
    </row>
    <row r="10" spans="1:5" x14ac:dyDescent="0.3">
      <c r="A10" s="76"/>
      <c r="B10" s="310"/>
      <c r="C10" s="77"/>
      <c r="D10" s="310"/>
      <c r="E10" s="40"/>
    </row>
    <row r="11" spans="1:5" x14ac:dyDescent="0.3">
      <c r="A11" s="76"/>
      <c r="B11" s="310"/>
      <c r="C11" s="77"/>
      <c r="D11" s="310"/>
      <c r="E11" s="40"/>
    </row>
    <row r="12" spans="1:5" x14ac:dyDescent="0.3">
      <c r="A12" s="76"/>
      <c r="B12" s="310"/>
      <c r="C12" s="77"/>
      <c r="D12" s="310"/>
      <c r="E12" s="40"/>
    </row>
    <row r="13" spans="1:5" x14ac:dyDescent="0.3">
      <c r="A13" s="76"/>
      <c r="B13" s="310"/>
      <c r="C13" s="77"/>
      <c r="D13" s="310"/>
      <c r="E13" s="40"/>
    </row>
    <row r="14" spans="1:5" x14ac:dyDescent="0.3">
      <c r="A14" s="76"/>
      <c r="B14" s="310"/>
      <c r="C14" s="77"/>
      <c r="D14" s="310"/>
      <c r="E14" s="40"/>
    </row>
    <row r="15" spans="1:5" x14ac:dyDescent="0.3">
      <c r="A15" s="76"/>
      <c r="B15" s="310"/>
      <c r="C15" s="77"/>
      <c r="D15" s="310"/>
      <c r="E15" s="40"/>
    </row>
    <row r="16" spans="1:5" ht="14.5" thickBot="1" x14ac:dyDescent="0.35">
      <c r="A16" s="78" t="s">
        <v>34</v>
      </c>
      <c r="B16" s="57">
        <v>40</v>
      </c>
      <c r="C16" s="79" t="s">
        <v>35</v>
      </c>
      <c r="D16" s="310"/>
      <c r="E16" s="40"/>
    </row>
    <row r="17" spans="1:5" x14ac:dyDescent="0.3">
      <c r="A17" s="40"/>
      <c r="B17" s="40"/>
      <c r="C17" s="40"/>
      <c r="D17" s="40"/>
      <c r="E17" s="40"/>
    </row>
    <row r="18" spans="1:5" x14ac:dyDescent="0.3">
      <c r="A18" s="40"/>
      <c r="B18" s="40"/>
      <c r="C18" s="40"/>
      <c r="D18" s="40"/>
      <c r="E18" s="40"/>
    </row>
    <row r="19" spans="1:5" x14ac:dyDescent="0.3">
      <c r="A19" s="40"/>
      <c r="B19" s="40"/>
      <c r="C19" s="40"/>
      <c r="D19" s="40"/>
      <c r="E19" s="40"/>
    </row>
    <row r="20" spans="1:5" x14ac:dyDescent="0.3">
      <c r="A20" s="40"/>
      <c r="B20" s="40"/>
      <c r="C20" s="40"/>
      <c r="D20" s="40"/>
      <c r="E20" s="40"/>
    </row>
    <row r="21" spans="1:5" x14ac:dyDescent="0.3">
      <c r="A21" s="40"/>
      <c r="B21" s="40"/>
      <c r="C21" s="40"/>
      <c r="D21" s="40"/>
      <c r="E21" s="40"/>
    </row>
    <row r="22" spans="1:5" x14ac:dyDescent="0.3">
      <c r="A22" s="40"/>
      <c r="B22" s="40"/>
      <c r="C22" s="40"/>
      <c r="D22" s="40"/>
      <c r="E22" s="40"/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C2D6-E014-42AF-904E-A3A5CD5E07D2}">
  <dimension ref="A1:K91"/>
  <sheetViews>
    <sheetView zoomScale="55" zoomScaleNormal="55" workbookViewId="0">
      <selection activeCell="G15" sqref="G15"/>
    </sheetView>
  </sheetViews>
  <sheetFormatPr defaultRowHeight="14" x14ac:dyDescent="0.3"/>
  <cols>
    <col min="1" max="1" width="18.4140625" customWidth="1"/>
    <col min="2" max="2" width="13.25" customWidth="1"/>
    <col min="3" max="3" width="17.08203125" customWidth="1"/>
    <col min="4" max="4" width="18.25" customWidth="1"/>
    <col min="5" max="5" width="13.08203125" customWidth="1"/>
    <col min="6" max="6" width="15.4140625" customWidth="1"/>
    <col min="7" max="7" width="18.33203125" customWidth="1"/>
    <col min="8" max="8" width="17.83203125" customWidth="1"/>
    <col min="9" max="9" width="16.75" customWidth="1"/>
    <col min="10" max="10" width="12.75" customWidth="1"/>
  </cols>
  <sheetData>
    <row r="1" spans="1:11" ht="20.5" thickBot="1" x14ac:dyDescent="0.45">
      <c r="A1" s="107" t="s">
        <v>324</v>
      </c>
      <c r="B1" s="40"/>
      <c r="C1" s="40"/>
      <c r="D1" s="40"/>
      <c r="E1" s="40"/>
      <c r="F1" s="40"/>
      <c r="G1" s="40"/>
    </row>
    <row r="2" spans="1:11" x14ac:dyDescent="0.3">
      <c r="A2" s="136" t="s">
        <v>325</v>
      </c>
      <c r="B2" s="109">
        <v>4500000</v>
      </c>
      <c r="C2" s="110" t="s">
        <v>326</v>
      </c>
      <c r="D2" s="40" t="s">
        <v>327</v>
      </c>
      <c r="E2" s="40"/>
      <c r="F2" s="40"/>
      <c r="G2" s="40"/>
    </row>
    <row r="3" spans="1:11" x14ac:dyDescent="0.3">
      <c r="A3" s="133" t="s">
        <v>328</v>
      </c>
      <c r="B3" s="40">
        <v>3</v>
      </c>
      <c r="C3" s="77" t="s">
        <v>6</v>
      </c>
      <c r="D3" s="40"/>
      <c r="E3" s="40"/>
      <c r="F3" s="40"/>
      <c r="G3" s="40"/>
    </row>
    <row r="4" spans="1:11" x14ac:dyDescent="0.3">
      <c r="A4" s="133" t="s">
        <v>329</v>
      </c>
      <c r="B4" s="40">
        <f>'Rotor Scale'!B13</f>
        <v>11.78312</v>
      </c>
      <c r="C4" s="77" t="s">
        <v>6</v>
      </c>
      <c r="D4" s="40"/>
      <c r="E4" s="40"/>
      <c r="F4" s="40"/>
      <c r="G4" s="40"/>
    </row>
    <row r="5" spans="1:11" x14ac:dyDescent="0.3">
      <c r="A5" s="133" t="s">
        <v>330</v>
      </c>
      <c r="B5" s="40">
        <v>25</v>
      </c>
      <c r="C5" s="77" t="s">
        <v>6</v>
      </c>
      <c r="D5" s="40"/>
      <c r="E5" s="40"/>
      <c r="F5" s="40"/>
      <c r="G5" s="40"/>
    </row>
    <row r="6" spans="1:11" x14ac:dyDescent="0.3">
      <c r="A6" s="133"/>
      <c r="B6" s="40"/>
      <c r="C6" s="77"/>
      <c r="D6" s="40"/>
      <c r="E6" s="40"/>
      <c r="F6" s="40"/>
      <c r="G6" s="40"/>
    </row>
    <row r="7" spans="1:11" x14ac:dyDescent="0.3">
      <c r="A7" s="133" t="s">
        <v>331</v>
      </c>
      <c r="B7" s="40">
        <f>B8*2</f>
        <v>113.996490297622</v>
      </c>
      <c r="C7" s="77" t="s">
        <v>12</v>
      </c>
      <c r="D7" s="40"/>
      <c r="E7" s="40"/>
      <c r="F7" s="40"/>
      <c r="G7" s="40"/>
    </row>
    <row r="8" spans="1:11" x14ac:dyDescent="0.3">
      <c r="A8" s="133" t="s">
        <v>332</v>
      </c>
      <c r="B8" s="40">
        <f>'Rotor Scale'!B6</f>
        <v>56.998245148811002</v>
      </c>
      <c r="C8" s="77" t="s">
        <v>12</v>
      </c>
      <c r="D8" s="40"/>
      <c r="E8" s="40"/>
      <c r="F8" s="40"/>
      <c r="G8" s="40"/>
    </row>
    <row r="9" spans="1:11" x14ac:dyDescent="0.3">
      <c r="A9" s="133" t="s">
        <v>333</v>
      </c>
      <c r="B9" s="40">
        <f>PI()*B8^2</f>
        <v>10206.406056040982</v>
      </c>
      <c r="C9" s="77" t="s">
        <v>114</v>
      </c>
      <c r="D9" s="40" t="s">
        <v>334</v>
      </c>
      <c r="E9" s="40"/>
      <c r="F9" s="40"/>
      <c r="G9" s="40"/>
    </row>
    <row r="10" spans="1:11" x14ac:dyDescent="0.3">
      <c r="A10" s="133"/>
      <c r="B10" s="40"/>
      <c r="C10" s="77"/>
      <c r="D10" s="40"/>
      <c r="E10" s="40"/>
      <c r="F10" s="40"/>
      <c r="G10" s="40"/>
    </row>
    <row r="11" spans="1:11" x14ac:dyDescent="0.3">
      <c r="A11" s="133" t="s">
        <v>335</v>
      </c>
      <c r="B11" s="40">
        <f>'Rotor Scale'!B5</f>
        <v>78</v>
      </c>
      <c r="C11" s="77" t="s">
        <v>6</v>
      </c>
      <c r="D11" s="40"/>
      <c r="E11" s="40"/>
      <c r="F11" s="40"/>
      <c r="G11" s="40"/>
    </row>
    <row r="12" spans="1:11" x14ac:dyDescent="0.3">
      <c r="A12" s="133" t="s">
        <v>336</v>
      </c>
      <c r="B12" s="40">
        <f>B2/B9</f>
        <v>440.89956594824423</v>
      </c>
      <c r="C12" s="77" t="s">
        <v>337</v>
      </c>
      <c r="D12" s="40" t="s">
        <v>334</v>
      </c>
      <c r="E12" s="40"/>
      <c r="F12" s="40"/>
      <c r="G12" s="40"/>
    </row>
    <row r="13" spans="1:11" x14ac:dyDescent="0.3">
      <c r="A13" s="133"/>
      <c r="B13" s="40"/>
      <c r="C13" s="77"/>
      <c r="D13" s="40"/>
      <c r="E13" s="40"/>
      <c r="F13" s="40"/>
      <c r="G13" s="40"/>
    </row>
    <row r="14" spans="1:11" x14ac:dyDescent="0.3">
      <c r="A14" s="133" t="s">
        <v>338</v>
      </c>
      <c r="B14" s="40">
        <f>'Tower design'!B2</f>
        <v>79.251999999999995</v>
      </c>
      <c r="C14" s="77"/>
      <c r="D14" s="40"/>
      <c r="E14" s="40"/>
      <c r="F14" s="40"/>
      <c r="G14" s="40"/>
      <c r="H14" s="40"/>
      <c r="I14" s="40"/>
      <c r="J14" s="40"/>
      <c r="K14" s="40"/>
    </row>
    <row r="15" spans="1:11" x14ac:dyDescent="0.3">
      <c r="A15" s="133" t="s">
        <v>7</v>
      </c>
      <c r="B15" s="40">
        <v>1.2250000000000001</v>
      </c>
      <c r="C15" s="77" t="s">
        <v>8</v>
      </c>
      <c r="D15" s="40"/>
      <c r="E15" s="40"/>
      <c r="F15" s="40"/>
      <c r="G15" s="40"/>
      <c r="H15" s="40"/>
      <c r="I15" s="40"/>
      <c r="J15" s="40"/>
      <c r="K15" s="40"/>
    </row>
    <row r="16" spans="1:11" x14ac:dyDescent="0.3">
      <c r="A16" s="133" t="s">
        <v>1</v>
      </c>
      <c r="B16" s="40">
        <f>'cp-lambda data from Ashes'!F2</f>
        <v>0.488923</v>
      </c>
      <c r="C16" s="77"/>
      <c r="D16" s="40"/>
      <c r="E16" s="40"/>
      <c r="F16" s="40"/>
      <c r="G16" s="40"/>
      <c r="H16" s="40"/>
      <c r="I16" s="40"/>
      <c r="J16" s="40"/>
      <c r="K16" s="40"/>
    </row>
    <row r="17" spans="1:11" ht="28" x14ac:dyDescent="0.3">
      <c r="A17" s="133" t="s">
        <v>339</v>
      </c>
      <c r="B17" s="40">
        <f>B11/B4</f>
        <v>6.6196389411293444</v>
      </c>
      <c r="C17" s="77"/>
      <c r="D17" s="40" t="s">
        <v>334</v>
      </c>
      <c r="E17" s="40"/>
      <c r="F17" s="40"/>
      <c r="G17" s="40"/>
      <c r="H17" s="40"/>
      <c r="I17" s="40"/>
      <c r="J17" s="40"/>
      <c r="K17" s="40"/>
    </row>
    <row r="18" spans="1:11" ht="14.5" thickBot="1" x14ac:dyDescent="0.35">
      <c r="A18" s="137" t="s">
        <v>340</v>
      </c>
      <c r="B18" s="57">
        <f>B11/B8</f>
        <v>1.3684631833200762</v>
      </c>
      <c r="C18" s="79" t="s">
        <v>23</v>
      </c>
      <c r="D18" s="40" t="s">
        <v>334</v>
      </c>
      <c r="E18" s="40"/>
      <c r="F18" s="40"/>
      <c r="G18" s="40"/>
      <c r="H18" s="40"/>
      <c r="I18" s="40"/>
      <c r="J18" s="40"/>
      <c r="K18" s="40"/>
    </row>
    <row r="19" spans="1:11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25" x14ac:dyDescent="0.5">
      <c r="A20" s="113" t="s">
        <v>324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14.5" thickBot="1" x14ac:dyDescent="0.35">
      <c r="A21" s="76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ht="14.5" thickBot="1" x14ac:dyDescent="0.35">
      <c r="A22" s="130" t="s">
        <v>341</v>
      </c>
      <c r="B22" s="131" t="s">
        <v>363</v>
      </c>
      <c r="C22" s="131" t="s">
        <v>367</v>
      </c>
      <c r="D22" s="131" t="s">
        <v>368</v>
      </c>
      <c r="E22" s="131" t="s">
        <v>368</v>
      </c>
      <c r="F22" s="131" t="s">
        <v>369</v>
      </c>
      <c r="G22" s="131" t="s">
        <v>342</v>
      </c>
      <c r="H22" s="131" t="s">
        <v>343</v>
      </c>
      <c r="I22" s="131" t="s">
        <v>344</v>
      </c>
      <c r="J22" s="132" t="s">
        <v>345</v>
      </c>
      <c r="K22" s="40"/>
    </row>
    <row r="23" spans="1:11" ht="14.5" thickBot="1" x14ac:dyDescent="0.35">
      <c r="A23" s="114" t="s">
        <v>72</v>
      </c>
      <c r="B23" s="115" t="s">
        <v>362</v>
      </c>
      <c r="C23" s="115" t="s">
        <v>362</v>
      </c>
      <c r="D23" s="115" t="s">
        <v>362</v>
      </c>
      <c r="E23" s="115" t="s">
        <v>364</v>
      </c>
      <c r="F23" s="115" t="s">
        <v>58</v>
      </c>
      <c r="G23" s="115"/>
      <c r="H23" s="115" t="s">
        <v>365</v>
      </c>
      <c r="I23" s="115" t="s">
        <v>366</v>
      </c>
      <c r="J23" s="116" t="s">
        <v>180</v>
      </c>
      <c r="K23" s="40"/>
    </row>
    <row r="24" spans="1:11" x14ac:dyDescent="0.3">
      <c r="A24" s="117">
        <v>0</v>
      </c>
      <c r="B24" s="109">
        <f>0.5*$A$75*$A$68*A24^3</f>
        <v>0</v>
      </c>
      <c r="C24" s="109">
        <f>0.5*$A$76*$A$75*$A$68*A24^3</f>
        <v>0</v>
      </c>
      <c r="D24" s="109">
        <v>0</v>
      </c>
      <c r="E24" s="109">
        <f t="shared" ref="E24:E50" si="0">D24/1000</f>
        <v>0</v>
      </c>
      <c r="F24" s="109"/>
      <c r="G24" s="109">
        <v>0</v>
      </c>
      <c r="H24" s="109">
        <v>0</v>
      </c>
      <c r="I24" s="109">
        <v>0</v>
      </c>
      <c r="J24" s="110">
        <v>0</v>
      </c>
      <c r="K24" s="40"/>
    </row>
    <row r="25" spans="1:11" x14ac:dyDescent="0.3">
      <c r="A25" s="76">
        <v>1</v>
      </c>
      <c r="B25" s="40">
        <v>0</v>
      </c>
      <c r="C25" s="40">
        <v>0</v>
      </c>
      <c r="D25" s="40">
        <v>0</v>
      </c>
      <c r="E25" s="40">
        <f t="shared" si="0"/>
        <v>0</v>
      </c>
      <c r="F25" s="40"/>
      <c r="G25" s="40">
        <v>0</v>
      </c>
      <c r="H25" s="40">
        <v>0</v>
      </c>
      <c r="I25" s="40">
        <v>0</v>
      </c>
      <c r="J25" s="77">
        <v>0</v>
      </c>
      <c r="K25" s="40"/>
    </row>
    <row r="26" spans="1:11" x14ac:dyDescent="0.3">
      <c r="A26" s="76">
        <v>2</v>
      </c>
      <c r="B26" s="40">
        <v>0</v>
      </c>
      <c r="C26" s="40">
        <v>0</v>
      </c>
      <c r="D26" s="40">
        <v>0</v>
      </c>
      <c r="E26" s="40">
        <f t="shared" si="0"/>
        <v>0</v>
      </c>
      <c r="F26" s="40"/>
      <c r="G26" s="40">
        <v>0</v>
      </c>
      <c r="H26" s="40">
        <v>0</v>
      </c>
      <c r="I26" s="40">
        <v>0</v>
      </c>
      <c r="J26" s="77">
        <v>0</v>
      </c>
      <c r="K26" s="40"/>
    </row>
    <row r="27" spans="1:11" x14ac:dyDescent="0.3">
      <c r="A27" s="76">
        <v>3</v>
      </c>
      <c r="B27" s="40">
        <f>0.5*$B$15*$B$9*A27^3</f>
        <v>168788.44015177773</v>
      </c>
      <c r="C27" s="39">
        <f t="shared" ref="C27:C50" si="1">0.5*$B$16*$B$15*$B$9*A27^3</f>
        <v>82524.550524327627</v>
      </c>
      <c r="D27" s="40">
        <f>IF(C27&gt;$B$2,$B$2,C27)</f>
        <v>82524.550524327627</v>
      </c>
      <c r="E27" s="40">
        <f t="shared" si="0"/>
        <v>82.524550524327623</v>
      </c>
      <c r="F27" s="40">
        <f t="shared" ref="F27:F50" si="2">D27/B27</f>
        <v>0.48892300000000005</v>
      </c>
      <c r="G27" s="118">
        <f>IF(F27=$B$16,$B$17,($B$11/A27))</f>
        <v>6.6196389411293444</v>
      </c>
      <c r="H27" s="119">
        <f t="shared" ref="H27:H50" si="3">IF(G27=$B$17,(G27*A27/$B$8),$B$18)</f>
        <v>0.34841277606951543</v>
      </c>
      <c r="I27" s="40">
        <f>H27*60/2/PI()</f>
        <v>3.3270969328699804</v>
      </c>
      <c r="J27" s="77">
        <f>D27/H27/1000</f>
        <v>236.85856602417559</v>
      </c>
      <c r="K27" s="40"/>
    </row>
    <row r="28" spans="1:11" x14ac:dyDescent="0.3">
      <c r="A28" s="76">
        <v>4</v>
      </c>
      <c r="B28" s="40">
        <f t="shared" ref="B28:B50" si="4">0.5*$B$15*$B$9*A28^3</f>
        <v>400091.11739680648</v>
      </c>
      <c r="C28" s="39">
        <f t="shared" si="1"/>
        <v>195613.74939099883</v>
      </c>
      <c r="D28" s="40">
        <f t="shared" ref="D28:D50" si="5">IF(C28&gt;$B$2,$B$2,C28)</f>
        <v>195613.74939099883</v>
      </c>
      <c r="E28" s="40">
        <f t="shared" si="0"/>
        <v>195.61374939099883</v>
      </c>
      <c r="F28" s="40">
        <f t="shared" si="2"/>
        <v>0.48892300000000005</v>
      </c>
      <c r="G28" s="118">
        <f t="shared" ref="G28:G50" si="6">IF(F28=$B$16,$B$17,($B$11/A28))</f>
        <v>6.6196389411293444</v>
      </c>
      <c r="H28" s="119">
        <f t="shared" si="3"/>
        <v>0.46455036809268729</v>
      </c>
      <c r="I28" s="40">
        <f t="shared" ref="I28:I50" si="7">H28*60/2/PI()</f>
        <v>4.4361292438266409</v>
      </c>
      <c r="J28" s="77">
        <f t="shared" ref="J28:J50" si="8">D28/H28/1000</f>
        <v>421.08189515408992</v>
      </c>
      <c r="K28" s="40"/>
    </row>
    <row r="29" spans="1:11" x14ac:dyDescent="0.3">
      <c r="A29" s="76">
        <v>5</v>
      </c>
      <c r="B29" s="40">
        <f t="shared" si="4"/>
        <v>781427.96366563765</v>
      </c>
      <c r="C29" s="39">
        <f t="shared" si="1"/>
        <v>382058.10427929461</v>
      </c>
      <c r="D29" s="40">
        <f t="shared" si="5"/>
        <v>382058.10427929461</v>
      </c>
      <c r="E29" s="40">
        <f t="shared" si="0"/>
        <v>382.05810427929458</v>
      </c>
      <c r="F29" s="40">
        <f t="shared" si="2"/>
        <v>0.48892300000000005</v>
      </c>
      <c r="G29" s="118">
        <f t="shared" si="6"/>
        <v>6.6196389411293444</v>
      </c>
      <c r="H29" s="119">
        <f t="shared" si="3"/>
        <v>0.58068796011585899</v>
      </c>
      <c r="I29" s="40">
        <f t="shared" si="7"/>
        <v>5.5451615547832995</v>
      </c>
      <c r="J29" s="77">
        <f t="shared" si="8"/>
        <v>657.94046117826565</v>
      </c>
      <c r="K29" s="40"/>
    </row>
    <row r="30" spans="1:11" x14ac:dyDescent="0.3">
      <c r="A30" s="76">
        <v>6</v>
      </c>
      <c r="B30" s="40">
        <f t="shared" si="4"/>
        <v>1350307.5212142218</v>
      </c>
      <c r="C30" s="39">
        <f t="shared" si="1"/>
        <v>660196.40419462102</v>
      </c>
      <c r="D30" s="40">
        <f t="shared" si="5"/>
        <v>660196.40419462102</v>
      </c>
      <c r="E30" s="40">
        <f t="shared" si="0"/>
        <v>660.19640419462098</v>
      </c>
      <c r="F30" s="40">
        <f t="shared" si="2"/>
        <v>0.48892300000000005</v>
      </c>
      <c r="G30" s="118">
        <f t="shared" si="6"/>
        <v>6.6196389411293444</v>
      </c>
      <c r="H30" s="119">
        <f t="shared" si="3"/>
        <v>0.69682555213903086</v>
      </c>
      <c r="I30" s="40">
        <f t="shared" si="7"/>
        <v>6.6541938657399609</v>
      </c>
      <c r="J30" s="77">
        <f t="shared" si="8"/>
        <v>947.43426409670235</v>
      </c>
      <c r="K30" s="40"/>
    </row>
    <row r="31" spans="1:11" x14ac:dyDescent="0.3">
      <c r="A31" s="76">
        <v>7</v>
      </c>
      <c r="B31" s="40">
        <f t="shared" si="4"/>
        <v>2144238.3322985098</v>
      </c>
      <c r="C31" s="39">
        <f t="shared" si="1"/>
        <v>1048367.4381423843</v>
      </c>
      <c r="D31" s="40">
        <f t="shared" si="5"/>
        <v>1048367.4381423843</v>
      </c>
      <c r="E31" s="40">
        <f t="shared" si="0"/>
        <v>1048.3674381423843</v>
      </c>
      <c r="F31" s="40">
        <f t="shared" si="2"/>
        <v>0.488923</v>
      </c>
      <c r="G31" s="118">
        <f t="shared" si="6"/>
        <v>6.6196389411293444</v>
      </c>
      <c r="H31" s="119">
        <f t="shared" si="3"/>
        <v>0.81296314416220272</v>
      </c>
      <c r="I31" s="40">
        <f t="shared" si="7"/>
        <v>7.7632261766966213</v>
      </c>
      <c r="J31" s="77">
        <f t="shared" si="8"/>
        <v>1289.5633039094002</v>
      </c>
      <c r="K31" s="40"/>
    </row>
    <row r="32" spans="1:11" x14ac:dyDescent="0.3">
      <c r="A32" s="76">
        <v>8</v>
      </c>
      <c r="B32" s="40">
        <f t="shared" si="4"/>
        <v>3200728.9391744519</v>
      </c>
      <c r="C32" s="39">
        <f t="shared" si="1"/>
        <v>1564909.9951279906</v>
      </c>
      <c r="D32" s="40">
        <f t="shared" si="5"/>
        <v>1564909.9951279906</v>
      </c>
      <c r="E32" s="40">
        <f t="shared" si="0"/>
        <v>1564.9099951279907</v>
      </c>
      <c r="F32" s="40">
        <f t="shared" si="2"/>
        <v>0.48892300000000005</v>
      </c>
      <c r="G32" s="118">
        <f>IF(F32=$B$16,$B$17,($B$11/A32))</f>
        <v>6.6196389411293444</v>
      </c>
      <c r="H32" s="119">
        <f t="shared" si="3"/>
        <v>0.92910073618537459</v>
      </c>
      <c r="I32" s="40">
        <f t="shared" si="7"/>
        <v>8.8722584876532817</v>
      </c>
      <c r="J32" s="77">
        <f t="shared" si="8"/>
        <v>1684.3275806163597</v>
      </c>
      <c r="K32" s="40"/>
    </row>
    <row r="33" spans="1:11" x14ac:dyDescent="0.3">
      <c r="A33" s="76">
        <v>9</v>
      </c>
      <c r="B33" s="40">
        <f t="shared" si="4"/>
        <v>4557287.884097999</v>
      </c>
      <c r="C33" s="39">
        <f t="shared" si="1"/>
        <v>2228162.864156846</v>
      </c>
      <c r="D33" s="40">
        <f t="shared" si="5"/>
        <v>2228162.864156846</v>
      </c>
      <c r="E33" s="40">
        <f t="shared" si="0"/>
        <v>2228.1628641568459</v>
      </c>
      <c r="F33" s="40">
        <f t="shared" si="2"/>
        <v>0.488923</v>
      </c>
      <c r="G33" s="118">
        <f t="shared" si="6"/>
        <v>6.6196389411293444</v>
      </c>
      <c r="H33" s="119">
        <f t="shared" si="3"/>
        <v>1.0452383282085465</v>
      </c>
      <c r="I33" s="40">
        <f t="shared" si="7"/>
        <v>9.9812907986099422</v>
      </c>
      <c r="J33" s="77">
        <f t="shared" si="8"/>
        <v>2131.7270942175801</v>
      </c>
      <c r="K33" s="40"/>
    </row>
    <row r="34" spans="1:11" x14ac:dyDescent="0.3">
      <c r="A34" s="76">
        <v>10</v>
      </c>
      <c r="B34" s="40">
        <f t="shared" si="4"/>
        <v>6251423.7093251012</v>
      </c>
      <c r="C34" s="39">
        <f t="shared" si="1"/>
        <v>3056464.8342343569</v>
      </c>
      <c r="D34" s="40">
        <f t="shared" si="5"/>
        <v>3056464.8342343569</v>
      </c>
      <c r="E34" s="40">
        <f t="shared" si="0"/>
        <v>3056.4648342343567</v>
      </c>
      <c r="F34" s="40">
        <f t="shared" si="2"/>
        <v>0.48892300000000005</v>
      </c>
      <c r="G34" s="118">
        <f t="shared" si="6"/>
        <v>6.6196389411293444</v>
      </c>
      <c r="H34" s="119">
        <f t="shared" si="3"/>
        <v>1.161375920231718</v>
      </c>
      <c r="I34" s="40">
        <f t="shared" si="7"/>
        <v>11.090323109566599</v>
      </c>
      <c r="J34" s="77">
        <f t="shared" si="8"/>
        <v>2631.7618447130626</v>
      </c>
      <c r="K34" s="40"/>
    </row>
    <row r="35" spans="1:11" x14ac:dyDescent="0.3">
      <c r="A35" s="76">
        <v>11</v>
      </c>
      <c r="B35" s="40">
        <f>0.5*$B$15*$B$9*A35^3</f>
        <v>8320644.9571117098</v>
      </c>
      <c r="C35" s="39">
        <f t="shared" si="1"/>
        <v>4068154.6943659289</v>
      </c>
      <c r="D35" s="40">
        <f t="shared" si="5"/>
        <v>4068154.6943659289</v>
      </c>
      <c r="E35" s="40">
        <f t="shared" si="0"/>
        <v>4068.1546943659287</v>
      </c>
      <c r="F35" s="40">
        <f>D35/B35</f>
        <v>0.48892300000000005</v>
      </c>
      <c r="G35" s="118">
        <f t="shared" si="6"/>
        <v>6.6196389411293444</v>
      </c>
      <c r="H35" s="119">
        <f>IF(G35=$B$17,(G35*A35/$B$8),$B$18)</f>
        <v>1.27751351225489</v>
      </c>
      <c r="I35" s="40">
        <f>H35*60/2/PI()</f>
        <v>12.199355420523259</v>
      </c>
      <c r="J35" s="77">
        <f t="shared" si="8"/>
        <v>3184.4318321028054</v>
      </c>
      <c r="K35" s="40"/>
    </row>
    <row r="36" spans="1:11" x14ac:dyDescent="0.3">
      <c r="A36" s="76">
        <f>B4</f>
        <v>11.78312</v>
      </c>
      <c r="B36" s="40">
        <f t="shared" ref="B36:B37" si="9">0.5*$B$15*$B$9*A36^3</f>
        <v>10227272.727272727</v>
      </c>
      <c r="C36" s="39">
        <f t="shared" si="1"/>
        <v>5000348.8636363633</v>
      </c>
      <c r="D36" s="40">
        <f>IF(C36&gt;$B$2,$B$2,C36)</f>
        <v>4500000</v>
      </c>
      <c r="E36" s="40">
        <f>D36/1000</f>
        <v>4500</v>
      </c>
      <c r="F36" s="40">
        <f>D36/B36</f>
        <v>0.44</v>
      </c>
      <c r="G36" s="118">
        <f>IF(F36=$B$16,$B$17,($B$11/A36))</f>
        <v>6.6196389411293444</v>
      </c>
      <c r="H36" s="119">
        <f>IF(G36=$B$17,(G36*A36/$B$8),$B$18)</f>
        <v>1.3684631833200762</v>
      </c>
      <c r="I36" s="40">
        <f>H36*60/2/PI()</f>
        <v>13.06786080387964</v>
      </c>
      <c r="J36" s="77">
        <f t="shared" si="8"/>
        <v>3288.3602970467891</v>
      </c>
      <c r="K36" s="40"/>
    </row>
    <row r="37" spans="1:11" x14ac:dyDescent="0.3">
      <c r="A37" s="76">
        <v>12</v>
      </c>
      <c r="B37" s="40">
        <f t="shared" si="9"/>
        <v>10802460.169713775</v>
      </c>
      <c r="C37" s="39">
        <f t="shared" si="1"/>
        <v>5281571.2335569682</v>
      </c>
      <c r="D37" s="40">
        <f t="shared" si="5"/>
        <v>4500000</v>
      </c>
      <c r="E37" s="40">
        <f t="shared" si="0"/>
        <v>4500</v>
      </c>
      <c r="F37" s="40">
        <f t="shared" si="2"/>
        <v>0.41657177432751724</v>
      </c>
      <c r="G37" s="118">
        <f t="shared" si="6"/>
        <v>6.5</v>
      </c>
      <c r="H37" s="119">
        <f t="shared" si="3"/>
        <v>1.3684631833200762</v>
      </c>
      <c r="I37" s="40">
        <f t="shared" si="7"/>
        <v>13.06786080387964</v>
      </c>
      <c r="J37" s="77">
        <f t="shared" si="8"/>
        <v>3288.3602970467891</v>
      </c>
      <c r="K37" s="40"/>
    </row>
    <row r="38" spans="1:11" x14ac:dyDescent="0.3">
      <c r="A38" s="76">
        <v>13</v>
      </c>
      <c r="B38" s="40">
        <f t="shared" si="4"/>
        <v>13734377.889387248</v>
      </c>
      <c r="C38" s="39">
        <f t="shared" si="1"/>
        <v>6715053.2408128818</v>
      </c>
      <c r="D38" s="40">
        <f t="shared" si="5"/>
        <v>4500000</v>
      </c>
      <c r="E38" s="40">
        <f t="shared" si="0"/>
        <v>4500</v>
      </c>
      <c r="F38" s="40">
        <f t="shared" si="2"/>
        <v>0.32764498226579414</v>
      </c>
      <c r="G38" s="118">
        <f t="shared" si="6"/>
        <v>6</v>
      </c>
      <c r="H38" s="119">
        <f t="shared" si="3"/>
        <v>1.3684631833200762</v>
      </c>
      <c r="I38" s="40">
        <f t="shared" si="7"/>
        <v>13.06786080387964</v>
      </c>
      <c r="J38" s="77">
        <f t="shared" si="8"/>
        <v>3288.3602970467891</v>
      </c>
      <c r="K38" s="40"/>
    </row>
    <row r="39" spans="1:11" x14ac:dyDescent="0.3">
      <c r="A39" s="76">
        <v>14</v>
      </c>
      <c r="B39" s="40">
        <f t="shared" si="4"/>
        <v>17153906.658388078</v>
      </c>
      <c r="C39" s="39">
        <f t="shared" si="1"/>
        <v>8386939.5051390743</v>
      </c>
      <c r="D39" s="40">
        <f t="shared" si="5"/>
        <v>4500000</v>
      </c>
      <c r="E39" s="40">
        <f t="shared" si="0"/>
        <v>4500</v>
      </c>
      <c r="F39" s="40">
        <f t="shared" si="2"/>
        <v>0.26233091327913621</v>
      </c>
      <c r="G39" s="118">
        <f t="shared" si="6"/>
        <v>5.5714285714285712</v>
      </c>
      <c r="H39" s="119">
        <f t="shared" si="3"/>
        <v>1.3684631833200762</v>
      </c>
      <c r="I39" s="40">
        <f t="shared" si="7"/>
        <v>13.06786080387964</v>
      </c>
      <c r="J39" s="77">
        <f t="shared" si="8"/>
        <v>3288.3602970467891</v>
      </c>
      <c r="K39" s="40"/>
    </row>
    <row r="40" spans="1:11" x14ac:dyDescent="0.3">
      <c r="A40" s="76">
        <v>15</v>
      </c>
      <c r="B40" s="40">
        <f t="shared" si="4"/>
        <v>21098555.018972218</v>
      </c>
      <c r="C40" s="39">
        <f t="shared" si="1"/>
        <v>10315568.815540954</v>
      </c>
      <c r="D40" s="40">
        <f t="shared" si="5"/>
        <v>4500000</v>
      </c>
      <c r="E40" s="40">
        <f t="shared" si="0"/>
        <v>4500</v>
      </c>
      <c r="F40" s="40">
        <f t="shared" si="2"/>
        <v>0.21328474845568879</v>
      </c>
      <c r="G40" s="118">
        <f t="shared" si="6"/>
        <v>5.2</v>
      </c>
      <c r="H40" s="119">
        <f t="shared" si="3"/>
        <v>1.3684631833200762</v>
      </c>
      <c r="I40" s="40">
        <f t="shared" si="7"/>
        <v>13.06786080387964</v>
      </c>
      <c r="J40" s="77">
        <f t="shared" si="8"/>
        <v>3288.3602970467891</v>
      </c>
      <c r="K40" s="40"/>
    </row>
    <row r="41" spans="1:11" x14ac:dyDescent="0.3">
      <c r="A41" s="76">
        <v>16</v>
      </c>
      <c r="B41" s="40">
        <f t="shared" si="4"/>
        <v>25605831.513395615</v>
      </c>
      <c r="C41" s="39">
        <f t="shared" si="1"/>
        <v>12519279.961023925</v>
      </c>
      <c r="D41" s="40">
        <f t="shared" si="5"/>
        <v>4500000</v>
      </c>
      <c r="E41" s="40">
        <f t="shared" si="0"/>
        <v>4500</v>
      </c>
      <c r="F41" s="40">
        <f t="shared" si="2"/>
        <v>0.17574121729442133</v>
      </c>
      <c r="G41" s="118">
        <f t="shared" si="6"/>
        <v>4.875</v>
      </c>
      <c r="H41" s="119">
        <f t="shared" si="3"/>
        <v>1.3684631833200762</v>
      </c>
      <c r="I41" s="40">
        <f t="shared" si="7"/>
        <v>13.06786080387964</v>
      </c>
      <c r="J41" s="77">
        <f t="shared" si="8"/>
        <v>3288.3602970467891</v>
      </c>
      <c r="K41" s="40"/>
    </row>
    <row r="42" spans="1:11" x14ac:dyDescent="0.3">
      <c r="A42" s="76">
        <v>17</v>
      </c>
      <c r="B42" s="40">
        <f t="shared" si="4"/>
        <v>30713244.683914222</v>
      </c>
      <c r="C42" s="39">
        <f t="shared" si="1"/>
        <v>15016411.730593394</v>
      </c>
      <c r="D42" s="40">
        <f t="shared" si="5"/>
        <v>4500000</v>
      </c>
      <c r="E42" s="40">
        <f t="shared" si="0"/>
        <v>4500</v>
      </c>
      <c r="F42" s="40">
        <f t="shared" si="2"/>
        <v>0.14651659394218394</v>
      </c>
      <c r="G42" s="118">
        <f t="shared" si="6"/>
        <v>4.5882352941176467</v>
      </c>
      <c r="H42" s="119">
        <f t="shared" si="3"/>
        <v>1.3684631833200762</v>
      </c>
      <c r="I42" s="40">
        <f t="shared" si="7"/>
        <v>13.06786080387964</v>
      </c>
      <c r="J42" s="77">
        <f t="shared" si="8"/>
        <v>3288.3602970467891</v>
      </c>
      <c r="K42" s="40"/>
    </row>
    <row r="43" spans="1:11" x14ac:dyDescent="0.3">
      <c r="A43" s="76">
        <v>18</v>
      </c>
      <c r="B43" s="40">
        <f t="shared" si="4"/>
        <v>36458303.072783992</v>
      </c>
      <c r="C43" s="39">
        <f t="shared" si="1"/>
        <v>17825302.913254768</v>
      </c>
      <c r="D43" s="40">
        <f t="shared" si="5"/>
        <v>4500000</v>
      </c>
      <c r="E43" s="40">
        <f t="shared" si="0"/>
        <v>4500</v>
      </c>
      <c r="F43" s="40">
        <f t="shared" si="2"/>
        <v>0.12342867387481991</v>
      </c>
      <c r="G43" s="118">
        <f t="shared" si="6"/>
        <v>4.333333333333333</v>
      </c>
      <c r="H43" s="119">
        <f t="shared" si="3"/>
        <v>1.3684631833200762</v>
      </c>
      <c r="I43" s="40">
        <f t="shared" si="7"/>
        <v>13.06786080387964</v>
      </c>
      <c r="J43" s="77">
        <f t="shared" si="8"/>
        <v>3288.3602970467891</v>
      </c>
      <c r="K43" s="40"/>
    </row>
    <row r="44" spans="1:11" x14ac:dyDescent="0.3">
      <c r="A44" s="76">
        <v>19</v>
      </c>
      <c r="B44" s="40">
        <f t="shared" si="4"/>
        <v>42878515.22226087</v>
      </c>
      <c r="C44" s="39">
        <f t="shared" si="1"/>
        <v>20964292.298013452</v>
      </c>
      <c r="D44" s="40">
        <f t="shared" si="5"/>
        <v>4500000</v>
      </c>
      <c r="E44" s="40">
        <f t="shared" si="0"/>
        <v>4500</v>
      </c>
      <c r="F44" s="40">
        <f t="shared" si="2"/>
        <v>0.1049476638049205</v>
      </c>
      <c r="G44" s="118">
        <f t="shared" si="6"/>
        <v>4.1052631578947372</v>
      </c>
      <c r="H44" s="119">
        <f t="shared" si="3"/>
        <v>1.3684631833200762</v>
      </c>
      <c r="I44" s="40">
        <f t="shared" si="7"/>
        <v>13.06786080387964</v>
      </c>
      <c r="J44" s="77">
        <f t="shared" si="8"/>
        <v>3288.3602970467891</v>
      </c>
      <c r="K44" s="40"/>
    </row>
    <row r="45" spans="1:11" x14ac:dyDescent="0.3">
      <c r="A45" s="76">
        <v>20</v>
      </c>
      <c r="B45" s="40">
        <f t="shared" si="4"/>
        <v>50011389.67460081</v>
      </c>
      <c r="C45" s="39">
        <f t="shared" si="1"/>
        <v>24451718.673874855</v>
      </c>
      <c r="D45" s="40">
        <f t="shared" si="5"/>
        <v>4500000</v>
      </c>
      <c r="E45" s="40">
        <f t="shared" si="0"/>
        <v>4500</v>
      </c>
      <c r="F45" s="40">
        <f t="shared" si="2"/>
        <v>8.9979503254743715E-2</v>
      </c>
      <c r="G45" s="118">
        <f t="shared" si="6"/>
        <v>3.9</v>
      </c>
      <c r="H45" s="119">
        <f t="shared" si="3"/>
        <v>1.3684631833200762</v>
      </c>
      <c r="I45" s="40">
        <f t="shared" si="7"/>
        <v>13.06786080387964</v>
      </c>
      <c r="J45" s="77">
        <f t="shared" si="8"/>
        <v>3288.3602970467891</v>
      </c>
      <c r="K45" s="40"/>
    </row>
    <row r="46" spans="1:11" x14ac:dyDescent="0.3">
      <c r="A46" s="76">
        <v>21</v>
      </c>
      <c r="B46" s="40">
        <f t="shared" si="4"/>
        <v>57894434.972059764</v>
      </c>
      <c r="C46" s="39">
        <f t="shared" si="1"/>
        <v>28305920.829844378</v>
      </c>
      <c r="D46" s="40">
        <f t="shared" si="5"/>
        <v>4500000</v>
      </c>
      <c r="E46" s="40">
        <f t="shared" si="0"/>
        <v>4500</v>
      </c>
      <c r="F46" s="40">
        <f t="shared" si="2"/>
        <v>7.772767800863295E-2</v>
      </c>
      <c r="G46" s="118">
        <f t="shared" si="6"/>
        <v>3.7142857142857144</v>
      </c>
      <c r="H46" s="119">
        <f t="shared" si="3"/>
        <v>1.3684631833200762</v>
      </c>
      <c r="I46" s="40">
        <f t="shared" si="7"/>
        <v>13.06786080387964</v>
      </c>
      <c r="J46" s="77">
        <f t="shared" si="8"/>
        <v>3288.3602970467891</v>
      </c>
      <c r="K46" s="40"/>
    </row>
    <row r="47" spans="1:11" x14ac:dyDescent="0.3">
      <c r="A47" s="76">
        <v>22</v>
      </c>
      <c r="B47" s="40">
        <f t="shared" si="4"/>
        <v>66565159.656893678</v>
      </c>
      <c r="C47" s="39">
        <f t="shared" si="1"/>
        <v>32545237.554927431</v>
      </c>
      <c r="D47" s="40">
        <f t="shared" si="5"/>
        <v>4500000</v>
      </c>
      <c r="E47" s="40">
        <f t="shared" si="0"/>
        <v>4500</v>
      </c>
      <c r="F47" s="40">
        <f t="shared" si="2"/>
        <v>6.7602932573060645E-2</v>
      </c>
      <c r="G47" s="118">
        <f t="shared" si="6"/>
        <v>3.5454545454545454</v>
      </c>
      <c r="H47" s="119">
        <f t="shared" si="3"/>
        <v>1.3684631833200762</v>
      </c>
      <c r="I47" s="40">
        <f t="shared" si="7"/>
        <v>13.06786080387964</v>
      </c>
      <c r="J47" s="77">
        <f t="shared" si="8"/>
        <v>3288.3602970467891</v>
      </c>
      <c r="K47" s="40"/>
    </row>
    <row r="48" spans="1:11" x14ac:dyDescent="0.3">
      <c r="A48" s="76">
        <v>23</v>
      </c>
      <c r="B48" s="40">
        <f t="shared" si="4"/>
        <v>76061072.271358505</v>
      </c>
      <c r="C48" s="39">
        <f t="shared" si="1"/>
        <v>37188007.638129421</v>
      </c>
      <c r="D48" s="40">
        <f t="shared" si="5"/>
        <v>4500000</v>
      </c>
      <c r="E48" s="40">
        <f t="shared" si="0"/>
        <v>4500</v>
      </c>
      <c r="F48" s="40">
        <f t="shared" si="2"/>
        <v>5.9162983976160911E-2</v>
      </c>
      <c r="G48" s="118">
        <f t="shared" si="6"/>
        <v>3.3913043478260869</v>
      </c>
      <c r="H48" s="119">
        <f t="shared" si="3"/>
        <v>1.3684631833200762</v>
      </c>
      <c r="I48" s="40">
        <f t="shared" si="7"/>
        <v>13.06786080387964</v>
      </c>
      <c r="J48" s="77">
        <f t="shared" si="8"/>
        <v>3288.3602970467891</v>
      </c>
      <c r="K48" s="40"/>
    </row>
    <row r="49" spans="1:11" x14ac:dyDescent="0.3">
      <c r="A49" s="76">
        <v>24</v>
      </c>
      <c r="B49" s="40">
        <f t="shared" si="4"/>
        <v>86419681.357710198</v>
      </c>
      <c r="C49" s="39">
        <f t="shared" si="1"/>
        <v>42252569.868455745</v>
      </c>
      <c r="D49" s="40">
        <f t="shared" si="5"/>
        <v>4500000</v>
      </c>
      <c r="E49" s="40">
        <f t="shared" si="0"/>
        <v>4500</v>
      </c>
      <c r="F49" s="40">
        <f t="shared" si="2"/>
        <v>5.2071471790939655E-2</v>
      </c>
      <c r="G49" s="118">
        <f t="shared" si="6"/>
        <v>3.25</v>
      </c>
      <c r="H49" s="119">
        <f t="shared" si="3"/>
        <v>1.3684631833200762</v>
      </c>
      <c r="I49" s="40">
        <f t="shared" si="7"/>
        <v>13.06786080387964</v>
      </c>
      <c r="J49" s="77">
        <f t="shared" si="8"/>
        <v>3288.3602970467891</v>
      </c>
      <c r="K49" s="40"/>
    </row>
    <row r="50" spans="1:11" ht="14.5" thickBot="1" x14ac:dyDescent="0.35">
      <c r="A50" s="78">
        <v>25</v>
      </c>
      <c r="B50" s="57">
        <f t="shared" si="4"/>
        <v>97678495.458204702</v>
      </c>
      <c r="C50" s="51">
        <f t="shared" si="1"/>
        <v>47757263.034911826</v>
      </c>
      <c r="D50" s="57">
        <f t="shared" si="5"/>
        <v>4500000</v>
      </c>
      <c r="E50" s="57">
        <f t="shared" si="0"/>
        <v>4500</v>
      </c>
      <c r="F50" s="57">
        <f t="shared" si="2"/>
        <v>4.6069505666428784E-2</v>
      </c>
      <c r="G50" s="120">
        <f t="shared" si="6"/>
        <v>3.12</v>
      </c>
      <c r="H50" s="121">
        <f t="shared" si="3"/>
        <v>1.3684631833200762</v>
      </c>
      <c r="I50" s="57">
        <f t="shared" si="7"/>
        <v>13.06786080387964</v>
      </c>
      <c r="J50" s="79">
        <f t="shared" si="8"/>
        <v>3288.3602970467891</v>
      </c>
      <c r="K50" s="40"/>
    </row>
    <row r="51" spans="1:11" x14ac:dyDescent="0.3">
      <c r="A51" s="40"/>
      <c r="B51" s="40"/>
      <c r="C51" s="39"/>
      <c r="D51" s="40"/>
      <c r="E51" s="40"/>
      <c r="F51" s="40"/>
      <c r="G51" s="40"/>
      <c r="H51" s="40"/>
      <c r="I51" s="40"/>
      <c r="J51" s="40"/>
      <c r="K51" s="40"/>
    </row>
    <row r="52" spans="1:11" x14ac:dyDescent="0.3">
      <c r="A52" s="40"/>
      <c r="B52" s="40"/>
      <c r="C52" s="39"/>
      <c r="D52" s="40"/>
      <c r="E52" s="40"/>
      <c r="F52" s="40"/>
      <c r="G52" s="40"/>
      <c r="H52" s="40"/>
      <c r="I52" s="40"/>
      <c r="J52" s="40"/>
      <c r="K52" s="40"/>
    </row>
    <row r="53" spans="1:11" x14ac:dyDescent="0.3">
      <c r="A53" s="40"/>
      <c r="B53" s="40"/>
      <c r="C53" s="39"/>
      <c r="D53" s="40"/>
      <c r="E53" s="40"/>
      <c r="F53" s="40"/>
      <c r="G53" s="40"/>
      <c r="H53" s="40"/>
      <c r="I53" s="40"/>
      <c r="J53" s="40"/>
      <c r="K53" s="40"/>
    </row>
    <row r="54" spans="1:11" x14ac:dyDescent="0.3">
      <c r="A54" s="40"/>
      <c r="B54" s="40"/>
      <c r="C54" s="39"/>
      <c r="D54" s="40"/>
      <c r="E54" s="40"/>
      <c r="F54" s="40"/>
      <c r="G54" s="40"/>
      <c r="H54" s="40"/>
      <c r="I54" s="40"/>
      <c r="J54" s="40"/>
      <c r="K54" s="40"/>
    </row>
    <row r="55" spans="1:11" x14ac:dyDescent="0.3">
      <c r="A55" s="40"/>
      <c r="B55" s="40"/>
      <c r="C55" s="39"/>
      <c r="D55" s="40"/>
      <c r="E55" s="40"/>
      <c r="F55" s="40"/>
      <c r="G55" s="40"/>
      <c r="H55" s="40"/>
      <c r="I55" s="40"/>
      <c r="J55" s="40"/>
      <c r="K55" s="40"/>
    </row>
    <row r="56" spans="1:11" x14ac:dyDescent="0.3">
      <c r="A56" s="40"/>
      <c r="B56" s="40"/>
      <c r="C56" s="40"/>
      <c r="D56" s="40"/>
      <c r="E56" s="40"/>
      <c r="F56" s="40"/>
      <c r="G56" s="40"/>
      <c r="H56" s="40"/>
      <c r="I56" s="40"/>
    </row>
    <row r="57" spans="1:11" x14ac:dyDescent="0.3">
      <c r="A57" s="40"/>
      <c r="B57" s="40"/>
      <c r="C57" s="40"/>
      <c r="D57" s="40"/>
      <c r="E57" s="40"/>
      <c r="F57" s="40"/>
      <c r="G57" s="40"/>
      <c r="H57" s="40"/>
      <c r="I57" s="40"/>
    </row>
    <row r="58" spans="1:11" x14ac:dyDescent="0.3">
      <c r="A58" s="40"/>
      <c r="B58" s="40"/>
      <c r="C58" s="40"/>
      <c r="D58" s="40"/>
      <c r="E58" s="40"/>
      <c r="F58" s="40"/>
      <c r="G58" s="40"/>
      <c r="H58" s="40"/>
      <c r="I58" s="40"/>
    </row>
    <row r="59" spans="1:11" ht="23.5" thickBot="1" x14ac:dyDescent="0.55000000000000004">
      <c r="A59" s="122" t="s">
        <v>346</v>
      </c>
      <c r="B59" s="40"/>
      <c r="C59" s="40"/>
      <c r="D59" s="40"/>
      <c r="E59" s="40"/>
      <c r="F59" s="40"/>
      <c r="G59" s="40"/>
      <c r="H59" s="40"/>
      <c r="I59" s="40"/>
    </row>
    <row r="60" spans="1:11" ht="14.5" thickBot="1" x14ac:dyDescent="0.35">
      <c r="A60" s="123" t="s">
        <v>375</v>
      </c>
      <c r="B60" s="124" t="s">
        <v>368</v>
      </c>
      <c r="C60" s="125" t="s">
        <v>374</v>
      </c>
      <c r="D60" s="125" t="s">
        <v>371</v>
      </c>
      <c r="E60" s="124" t="s">
        <v>372</v>
      </c>
      <c r="F60" s="124" t="s">
        <v>373</v>
      </c>
      <c r="G60" s="124" t="s">
        <v>369</v>
      </c>
      <c r="H60" s="126" t="s">
        <v>367</v>
      </c>
      <c r="I60" s="40"/>
    </row>
    <row r="61" spans="1:11" ht="14.5" thickBot="1" x14ac:dyDescent="0.35">
      <c r="A61" s="123" t="s">
        <v>72</v>
      </c>
      <c r="B61" s="124" t="s">
        <v>364</v>
      </c>
      <c r="C61" s="125" t="s">
        <v>366</v>
      </c>
      <c r="D61" s="125" t="s">
        <v>365</v>
      </c>
      <c r="E61" s="124" t="s">
        <v>370</v>
      </c>
      <c r="F61" s="124" t="s">
        <v>180</v>
      </c>
      <c r="G61" s="124"/>
      <c r="H61" s="126" t="s">
        <v>364</v>
      </c>
      <c r="I61" s="40"/>
    </row>
    <row r="62" spans="1:11" x14ac:dyDescent="0.3">
      <c r="A62" s="76">
        <v>0</v>
      </c>
      <c r="B62" s="40">
        <v>0</v>
      </c>
      <c r="C62" s="127">
        <v>0</v>
      </c>
      <c r="D62" s="127">
        <v>0</v>
      </c>
      <c r="E62" s="128">
        <v>0</v>
      </c>
      <c r="F62" s="40">
        <v>0</v>
      </c>
      <c r="G62" s="40"/>
      <c r="H62" s="77"/>
      <c r="I62" s="40"/>
    </row>
    <row r="63" spans="1:11" x14ac:dyDescent="0.3">
      <c r="A63" s="76">
        <v>1</v>
      </c>
      <c r="B63" s="40">
        <v>0</v>
      </c>
      <c r="C63" s="127">
        <v>0</v>
      </c>
      <c r="D63" s="127">
        <v>0</v>
      </c>
      <c r="E63" s="128">
        <v>0</v>
      </c>
      <c r="F63" s="40">
        <v>0</v>
      </c>
      <c r="G63" s="40">
        <f>VLOOKUP(A63,'cp-lambda data from Ashes'!A:B,2,FALSE)</f>
        <v>5.2612600000000002E-3</v>
      </c>
      <c r="H63" s="77"/>
      <c r="I63" s="40"/>
    </row>
    <row r="64" spans="1:11" x14ac:dyDescent="0.3">
      <c r="A64" s="76">
        <v>2</v>
      </c>
      <c r="B64" s="40">
        <v>0</v>
      </c>
      <c r="C64" s="127">
        <v>0</v>
      </c>
      <c r="D64" s="127">
        <v>0</v>
      </c>
      <c r="E64" s="128">
        <v>0</v>
      </c>
      <c r="F64" s="40">
        <v>0</v>
      </c>
      <c r="G64" s="40">
        <f>VLOOKUP(A64,'cp-lambda data from Ashes'!A:B,2,FALSE)</f>
        <v>2.29497E-2</v>
      </c>
      <c r="H64" s="77"/>
      <c r="I64" s="40"/>
    </row>
    <row r="65" spans="1:9" x14ac:dyDescent="0.3">
      <c r="A65" s="76">
        <v>3</v>
      </c>
      <c r="B65" s="40">
        <v>41.3979</v>
      </c>
      <c r="C65" s="40">
        <v>7.5402899999999997</v>
      </c>
      <c r="D65" s="40">
        <f>C65*2*PI()/60</f>
        <v>0.78961732233121928</v>
      </c>
      <c r="E65" s="40">
        <v>0</v>
      </c>
      <c r="F65" s="40">
        <v>52.427799999999998</v>
      </c>
      <c r="G65" s="40">
        <f>VLOOKUP(A65,'cp-lambda data from Ashes'!A:B,2,FALSE)</f>
        <v>0.101738</v>
      </c>
      <c r="H65" s="77">
        <v>105.276</v>
      </c>
      <c r="I65" s="40"/>
    </row>
    <row r="66" spans="1:9" x14ac:dyDescent="0.3">
      <c r="A66" s="76">
        <v>4</v>
      </c>
      <c r="B66" s="40">
        <v>170.09899999999999</v>
      </c>
      <c r="C66" s="40">
        <v>7.7582899999999997</v>
      </c>
      <c r="D66" s="40">
        <f t="shared" ref="D66:D88" si="10">C66*2*PI()/60</f>
        <v>0.81244622894730512</v>
      </c>
      <c r="E66" s="40">
        <v>0</v>
      </c>
      <c r="F66" s="40">
        <v>209.36600000000001</v>
      </c>
      <c r="G66" s="40">
        <f>VLOOKUP(A66,'cp-lambda data from Ashes'!A:B,2,FALSE)</f>
        <v>0.21495900000000001</v>
      </c>
      <c r="H66" s="77">
        <v>221.447</v>
      </c>
      <c r="I66" s="40"/>
    </row>
    <row r="67" spans="1:9" x14ac:dyDescent="0.3">
      <c r="A67" s="76">
        <v>5</v>
      </c>
      <c r="B67" s="40">
        <v>343.608</v>
      </c>
      <c r="C67" s="40">
        <v>8.0886200000000006</v>
      </c>
      <c r="D67" s="40">
        <f>C67*2*PI()/60</f>
        <v>0.84703830565598248</v>
      </c>
      <c r="E67" s="40">
        <v>0</v>
      </c>
      <c r="F67" s="40">
        <v>405.65899999999999</v>
      </c>
      <c r="G67" s="40">
        <f>VLOOKUP(A67,'cp-lambda data from Ashes'!A:B,2,FALSE)</f>
        <v>0.35500199999999998</v>
      </c>
      <c r="H67" s="77">
        <v>429.98700000000002</v>
      </c>
      <c r="I67" s="40"/>
    </row>
    <row r="68" spans="1:9" x14ac:dyDescent="0.3">
      <c r="A68" s="76">
        <v>6</v>
      </c>
      <c r="B68" s="40">
        <v>641.89400000000001</v>
      </c>
      <c r="C68" s="40">
        <v>8.5200600000000009</v>
      </c>
      <c r="D68" s="40">
        <f t="shared" si="10"/>
        <v>0.89221859680480853</v>
      </c>
      <c r="E68" s="40">
        <v>0</v>
      </c>
      <c r="F68" s="40">
        <v>719.43600000000004</v>
      </c>
      <c r="G68" s="40">
        <f>VLOOKUP(A68,'cp-lambda data from Ashes'!A:B,2,FALSE)</f>
        <v>0.44122800000000001</v>
      </c>
      <c r="H68" s="77">
        <v>737.02499999999998</v>
      </c>
      <c r="I68" s="40"/>
    </row>
    <row r="69" spans="1:9" x14ac:dyDescent="0.3">
      <c r="A69" s="76">
        <v>7</v>
      </c>
      <c r="B69" s="40">
        <v>1034.53</v>
      </c>
      <c r="C69" s="40">
        <v>9.0339799999999997</v>
      </c>
      <c r="D69" s="40">
        <f t="shared" si="10"/>
        <v>0.94603617335590395</v>
      </c>
      <c r="E69" s="40">
        <v>0</v>
      </c>
      <c r="F69" s="40">
        <v>1093.55</v>
      </c>
      <c r="G69" s="40">
        <f>VLOOKUP(A69,'cp-lambda data from Ashes'!A:B,2,FALSE)</f>
        <v>0.479433</v>
      </c>
      <c r="H69" s="77">
        <v>1122.6099999999999</v>
      </c>
      <c r="I69" s="40"/>
    </row>
    <row r="70" spans="1:9" x14ac:dyDescent="0.3">
      <c r="A70" s="76">
        <v>8</v>
      </c>
      <c r="B70" s="40">
        <v>1556.85</v>
      </c>
      <c r="C70" s="40">
        <v>9.6499199999999998</v>
      </c>
      <c r="D70" s="40">
        <f t="shared" si="10"/>
        <v>1.0105372593243072</v>
      </c>
      <c r="E70" s="40">
        <v>0</v>
      </c>
      <c r="F70" s="40">
        <v>1540.61</v>
      </c>
      <c r="G70" s="40">
        <f>VLOOKUP(A70,'cp-lambda data from Ashes'!A:B,2,FALSE)</f>
        <v>0.48888999999999999</v>
      </c>
      <c r="H70" s="77">
        <v>1640.93</v>
      </c>
      <c r="I70" s="40"/>
    </row>
    <row r="71" spans="1:9" x14ac:dyDescent="0.3">
      <c r="A71" s="76">
        <v>9</v>
      </c>
      <c r="B71" s="40">
        <v>2209.27</v>
      </c>
      <c r="C71" s="40">
        <v>10.7911</v>
      </c>
      <c r="D71" s="40">
        <f t="shared" si="10"/>
        <v>1.1300413494717605</v>
      </c>
      <c r="E71" s="40">
        <v>0</v>
      </c>
      <c r="F71" s="40">
        <v>1955.03</v>
      </c>
      <c r="G71" s="40">
        <f>VLOOKUP(A71,'cp-lambda data from Ashes'!A:B,2,FALSE)</f>
        <v>0.48379499999999998</v>
      </c>
      <c r="H71" s="77">
        <v>2313.92</v>
      </c>
      <c r="I71" s="40"/>
    </row>
    <row r="72" spans="1:9" x14ac:dyDescent="0.3">
      <c r="A72" s="76">
        <v>10</v>
      </c>
      <c r="B72" s="40">
        <v>3029.67</v>
      </c>
      <c r="C72" s="40">
        <v>11.9864</v>
      </c>
      <c r="D72" s="40">
        <f t="shared" si="10"/>
        <v>1.2552128727662899</v>
      </c>
      <c r="E72" s="40">
        <v>0</v>
      </c>
      <c r="F72" s="40">
        <v>2413.67</v>
      </c>
      <c r="G72" s="40">
        <f>VLOOKUP(A72,'cp-lambda data from Ashes'!A:B,2,FALSE)</f>
        <v>0.46626200000000001</v>
      </c>
      <c r="H72" s="77">
        <v>3177.81</v>
      </c>
      <c r="I72" s="40"/>
    </row>
    <row r="73" spans="1:9" x14ac:dyDescent="0.3">
      <c r="A73" s="76">
        <v>11</v>
      </c>
      <c r="B73" s="40">
        <v>4039.22</v>
      </c>
      <c r="C73" s="40">
        <v>12.787800000000001</v>
      </c>
      <c r="D73" s="40">
        <f t="shared" si="10"/>
        <v>1.3391352845191853</v>
      </c>
      <c r="E73" s="40">
        <v>0</v>
      </c>
      <c r="F73" s="40">
        <v>3016.29</v>
      </c>
      <c r="G73" s="40">
        <f>VLOOKUP(A73,'cp-lambda data from Ashes'!A:B,2,FALSE)</f>
        <v>0.437998</v>
      </c>
      <c r="H73" s="77">
        <v>4209.25</v>
      </c>
      <c r="I73" s="40"/>
    </row>
    <row r="74" spans="1:9" x14ac:dyDescent="0.3">
      <c r="A74" s="76">
        <v>11.8</v>
      </c>
      <c r="B74" s="40">
        <v>4831.93</v>
      </c>
      <c r="C74" s="40">
        <v>12.962199999999999</v>
      </c>
      <c r="D74" s="40">
        <f t="shared" si="10"/>
        <v>1.3573984098120537</v>
      </c>
      <c r="E74" s="40">
        <v>0</v>
      </c>
      <c r="F74" s="40">
        <v>3559.71</v>
      </c>
      <c r="G74" s="40">
        <f>VLOOKUP(A74,'cp-lambda data from Ashes'!A:B,2,FALSE)</f>
        <v>0.40802500000000003</v>
      </c>
      <c r="H74" s="77">
        <v>4944.24</v>
      </c>
      <c r="I74" s="40"/>
    </row>
    <row r="75" spans="1:9" x14ac:dyDescent="0.3">
      <c r="A75" s="76">
        <v>12</v>
      </c>
      <c r="B75" s="40">
        <v>4841.82</v>
      </c>
      <c r="C75" s="40">
        <v>13.099299999999999</v>
      </c>
      <c r="D75" s="40">
        <f t="shared" si="10"/>
        <v>1.3717554882389593</v>
      </c>
      <c r="E75" s="40">
        <v>1.8085199999999999</v>
      </c>
      <c r="F75" s="40">
        <v>3529.66</v>
      </c>
      <c r="G75" s="40">
        <f>VLOOKUP(A75,'cp-lambda data from Ashes'!A:B,2,FALSE)</f>
        <v>0.39954699999999999</v>
      </c>
      <c r="H75" s="77">
        <v>5995.66</v>
      </c>
      <c r="I75" s="40"/>
    </row>
    <row r="76" spans="1:9" x14ac:dyDescent="0.3">
      <c r="A76" s="76">
        <v>13</v>
      </c>
      <c r="B76" s="40">
        <v>4909.54</v>
      </c>
      <c r="C76" s="40">
        <v>13.1068</v>
      </c>
      <c r="D76" s="40">
        <f t="shared" si="10"/>
        <v>1.3725408864023565</v>
      </c>
      <c r="E76" s="40">
        <v>5.29305</v>
      </c>
      <c r="F76" s="40">
        <v>3576.98</v>
      </c>
      <c r="G76" s="40">
        <f>VLOOKUP(A76,'cp-lambda data from Ashes'!A:B,2,FALSE)</f>
        <v>0.35202099999999997</v>
      </c>
      <c r="H76" s="77">
        <v>6095.25</v>
      </c>
      <c r="I76" s="40"/>
    </row>
    <row r="77" spans="1:9" x14ac:dyDescent="0.3">
      <c r="A77" s="76">
        <v>14</v>
      </c>
      <c r="B77" s="40">
        <v>4854.33</v>
      </c>
      <c r="C77" s="40">
        <v>13.114100000000001</v>
      </c>
      <c r="D77" s="40">
        <f t="shared" si="10"/>
        <v>1.3733053406147304</v>
      </c>
      <c r="E77" s="40">
        <v>7.6628800000000004</v>
      </c>
      <c r="F77" s="40">
        <v>3534.77</v>
      </c>
      <c r="G77" s="40">
        <f>VLOOKUP(A77,'cp-lambda data from Ashes'!A:B,2,FALSE)</f>
        <v>0.29626000000000002</v>
      </c>
      <c r="H77" s="77">
        <v>6095.25</v>
      </c>
      <c r="I77" s="40"/>
    </row>
    <row r="78" spans="1:9" x14ac:dyDescent="0.3">
      <c r="A78" s="76">
        <v>15</v>
      </c>
      <c r="B78" s="40">
        <v>4894.49</v>
      </c>
      <c r="C78" s="40">
        <v>13.1089</v>
      </c>
      <c r="D78" s="40">
        <f t="shared" si="10"/>
        <v>1.372760797888108</v>
      </c>
      <c r="E78" s="40">
        <v>9.61111</v>
      </c>
      <c r="F78" s="40">
        <v>3565.43</v>
      </c>
      <c r="G78" s="40">
        <f>VLOOKUP(A78,'cp-lambda data from Ashes'!A:B,2,FALSE)</f>
        <v>0.23269500000000001</v>
      </c>
      <c r="H78" s="77">
        <v>6288.04</v>
      </c>
      <c r="I78" s="40"/>
    </row>
    <row r="79" spans="1:9" x14ac:dyDescent="0.3">
      <c r="A79" s="76">
        <v>16</v>
      </c>
      <c r="B79" s="40">
        <v>4846.33</v>
      </c>
      <c r="C79" s="40">
        <v>13.0967</v>
      </c>
      <c r="D79" s="40">
        <f t="shared" si="10"/>
        <v>1.3714832168756481</v>
      </c>
      <c r="E79" s="40">
        <v>11.3508</v>
      </c>
      <c r="F79" s="40">
        <v>3533.63</v>
      </c>
      <c r="G79" s="40">
        <f>VLOOKUP(A79,'cp-lambda data from Ashes'!A:B,2,FALSE)</f>
        <v>0.160495</v>
      </c>
      <c r="H79" s="77">
        <v>6324.69</v>
      </c>
      <c r="I79" s="40"/>
    </row>
    <row r="80" spans="1:9" x14ac:dyDescent="0.3">
      <c r="A80" s="76">
        <v>17</v>
      </c>
      <c r="B80" s="40">
        <v>4864.93</v>
      </c>
      <c r="C80" s="40">
        <v>13.0838</v>
      </c>
      <c r="D80" s="40">
        <f t="shared" si="10"/>
        <v>1.3701323320346044</v>
      </c>
      <c r="E80" s="40">
        <v>12.9207</v>
      </c>
      <c r="F80" s="41">
        <v>3550.7</v>
      </c>
      <c r="G80" s="40">
        <f>VLOOKUP(A80,'cp-lambda data from Ashes'!A:B,2,FALSE)</f>
        <v>7.9153200000000007E-2</v>
      </c>
      <c r="H80" s="77">
        <v>6324.69</v>
      </c>
      <c r="I80" s="40"/>
    </row>
    <row r="81" spans="1:9" x14ac:dyDescent="0.3">
      <c r="A81" s="76">
        <v>18</v>
      </c>
      <c r="B81" s="40">
        <v>4981.1499999999996</v>
      </c>
      <c r="C81" s="40">
        <v>13.1122</v>
      </c>
      <c r="D81" s="40">
        <f t="shared" si="10"/>
        <v>1.3731063730800028</v>
      </c>
      <c r="E81" s="40">
        <v>14.3909</v>
      </c>
      <c r="F81" s="40">
        <v>3627.64</v>
      </c>
      <c r="G81" s="40"/>
      <c r="H81" s="77">
        <v>6324.69</v>
      </c>
      <c r="I81" s="40"/>
    </row>
    <row r="82" spans="1:9" x14ac:dyDescent="0.3">
      <c r="A82" s="76">
        <v>19</v>
      </c>
      <c r="B82" s="40">
        <v>4968.1400000000003</v>
      </c>
      <c r="C82" s="40">
        <v>13.1081</v>
      </c>
      <c r="D82" s="40">
        <f t="shared" si="10"/>
        <v>1.3726770220840123</v>
      </c>
      <c r="E82" s="40">
        <v>15.790100000000001</v>
      </c>
      <c r="F82" s="41">
        <v>3619.3</v>
      </c>
      <c r="G82" s="40"/>
      <c r="H82" s="77">
        <v>6324.69</v>
      </c>
      <c r="I82" s="40"/>
    </row>
    <row r="83" spans="1:9" x14ac:dyDescent="0.3">
      <c r="A83" s="76">
        <v>20</v>
      </c>
      <c r="B83" s="40">
        <v>4867.9799999999996</v>
      </c>
      <c r="C83" s="40">
        <v>13.079800000000001</v>
      </c>
      <c r="D83" s="40">
        <f t="shared" si="10"/>
        <v>1.3697134530141259</v>
      </c>
      <c r="E83" s="40">
        <v>17.136199999999999</v>
      </c>
      <c r="F83" s="41">
        <v>3554</v>
      </c>
      <c r="G83" s="40"/>
      <c r="H83" s="77">
        <v>6612.25</v>
      </c>
      <c r="I83" s="40"/>
    </row>
    <row r="84" spans="1:9" x14ac:dyDescent="0.3">
      <c r="A84" s="76">
        <v>21</v>
      </c>
      <c r="B84" s="41">
        <v>4898.2</v>
      </c>
      <c r="C84" s="40">
        <v>13.075900000000001</v>
      </c>
      <c r="D84" s="40">
        <f t="shared" si="10"/>
        <v>1.3693050459691594</v>
      </c>
      <c r="E84" s="40">
        <v>18.6906</v>
      </c>
      <c r="F84" s="40">
        <v>3577.14</v>
      </c>
      <c r="G84" s="40"/>
      <c r="H84" s="77">
        <v>6612.25</v>
      </c>
      <c r="I84" s="40"/>
    </row>
    <row r="85" spans="1:9" x14ac:dyDescent="0.3">
      <c r="A85" s="76">
        <v>22</v>
      </c>
      <c r="B85" s="40">
        <v>4978.8500000000004</v>
      </c>
      <c r="C85" s="40">
        <v>13.081099999999999</v>
      </c>
      <c r="D85" s="40">
        <f t="shared" si="10"/>
        <v>1.3698495886957813</v>
      </c>
      <c r="E85" s="40">
        <v>19.6066</v>
      </c>
      <c r="F85" s="40">
        <v>3634.58</v>
      </c>
      <c r="G85" s="40"/>
      <c r="H85" s="77">
        <v>6652.15</v>
      </c>
      <c r="I85" s="40"/>
    </row>
    <row r="86" spans="1:9" x14ac:dyDescent="0.3">
      <c r="A86" s="76">
        <v>23</v>
      </c>
      <c r="B86" s="40">
        <v>4932.38</v>
      </c>
      <c r="C86" s="40">
        <v>13.074400000000001</v>
      </c>
      <c r="D86" s="40">
        <f t="shared" si="10"/>
        <v>1.3691479663364798</v>
      </c>
      <c r="E86" s="40">
        <v>20.794499999999999</v>
      </c>
      <c r="F86" s="40">
        <v>3602.51</v>
      </c>
      <c r="G86" s="40"/>
      <c r="H86" s="77">
        <v>6749.92</v>
      </c>
      <c r="I86" s="40"/>
    </row>
    <row r="87" spans="1:9" x14ac:dyDescent="0.3">
      <c r="A87" s="76">
        <v>24</v>
      </c>
      <c r="B87" s="40">
        <v>4917.32</v>
      </c>
      <c r="C87" s="40">
        <v>13.0702</v>
      </c>
      <c r="D87" s="40">
        <f>C87*2*PI()/60</f>
        <v>1.368708143364977</v>
      </c>
      <c r="E87" s="40">
        <v>21.900500000000001</v>
      </c>
      <c r="F87" s="40">
        <v>3592.68</v>
      </c>
      <c r="G87" s="40"/>
      <c r="H87" s="129">
        <v>6792.8</v>
      </c>
      <c r="I87" s="40"/>
    </row>
    <row r="88" spans="1:9" ht="14.5" thickBot="1" x14ac:dyDescent="0.35">
      <c r="A88" s="78">
        <v>25</v>
      </c>
      <c r="B88" s="57">
        <v>4995.8599999999997</v>
      </c>
      <c r="C88" s="57">
        <v>13.0848</v>
      </c>
      <c r="D88" s="57">
        <f t="shared" si="10"/>
        <v>1.3702370517897242</v>
      </c>
      <c r="E88" s="57">
        <v>23.023700000000002</v>
      </c>
      <c r="F88" s="57">
        <v>3645.99</v>
      </c>
      <c r="G88" s="57"/>
      <c r="H88" s="79">
        <v>6801.38</v>
      </c>
      <c r="I88" s="40"/>
    </row>
    <row r="89" spans="1:9" x14ac:dyDescent="0.3">
      <c r="A89" s="40"/>
      <c r="B89" s="40"/>
      <c r="C89" s="40"/>
      <c r="D89" s="40"/>
      <c r="E89" s="40"/>
      <c r="F89" s="40"/>
      <c r="G89" s="40"/>
      <c r="H89" s="40"/>
      <c r="I89" s="40"/>
    </row>
    <row r="90" spans="1:9" x14ac:dyDescent="0.3">
      <c r="A90" s="40"/>
      <c r="B90" s="40"/>
      <c r="C90" s="40"/>
      <c r="D90" s="40"/>
      <c r="E90" s="40"/>
      <c r="F90" s="40"/>
      <c r="G90" s="40"/>
      <c r="H90" s="40"/>
      <c r="I90" s="40"/>
    </row>
    <row r="91" spans="1:9" x14ac:dyDescent="0.3">
      <c r="A91" s="40"/>
      <c r="B91" s="40"/>
      <c r="C91" s="40"/>
      <c r="D91" s="40"/>
      <c r="E91" s="40"/>
      <c r="F91" s="40"/>
      <c r="G91" s="40"/>
      <c r="H91" s="40"/>
      <c r="I91" s="40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Summary</vt:lpstr>
      <vt:lpstr>Sheet2</vt:lpstr>
      <vt:lpstr>Blade design</vt:lpstr>
      <vt:lpstr>Tower design</vt:lpstr>
      <vt:lpstr>Generator design</vt:lpstr>
      <vt:lpstr>Foundation design</vt:lpstr>
      <vt:lpstr>Energy Yield</vt:lpstr>
      <vt:lpstr>Controller Design</vt:lpstr>
      <vt:lpstr>Curves</vt:lpstr>
      <vt:lpstr>Cost</vt:lpstr>
      <vt:lpstr>WT Scale</vt:lpstr>
      <vt:lpstr>cp-lambda data from Ashes</vt:lpstr>
      <vt:lpstr>Rotor Scale</vt:lpstr>
      <vt:lpstr>3MW-DDPMG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McDonald</dc:creator>
  <cp:lastModifiedBy>Yifan Chen</cp:lastModifiedBy>
  <dcterms:created xsi:type="dcterms:W3CDTF">2023-03-22T15:34:55Z</dcterms:created>
  <dcterms:modified xsi:type="dcterms:W3CDTF">2023-05-02T19:08:11Z</dcterms:modified>
</cp:coreProperties>
</file>