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1069C69FB87CD973/Finencial/repo_investing/"/>
    </mc:Choice>
  </mc:AlternateContent>
  <xr:revisionPtr revIDLastSave="6074" documentId="13_ncr:1_{6684F656-A1AF-432B-BD61-498F4564DF75}" xr6:coauthVersionLast="47" xr6:coauthVersionMax="47" xr10:uidLastSave="{3EF3A8D1-2533-4213-854D-8B0A7DEDE5FC}"/>
  <bookViews>
    <workbookView xWindow="8055" yWindow="2505" windowWidth="28800" windowHeight="15345" xr2:uid="{C236A5B8-795C-467A-8F0F-269E9F656624}"/>
  </bookViews>
  <sheets>
    <sheet name="Yigael Isreal" sheetId="2" r:id="rId1"/>
    <sheet name="Yigael USA" sheetId="4" r:id="rId2"/>
    <sheet name="Stats" sheetId="6" r:id="rId3"/>
    <sheet name="Other events" sheetId="5" r:id="rId4"/>
    <sheet name="Yigael USA 2024" sheetId="7" r:id="rId5"/>
    <sheet name="Keren" sheetId="3" r:id="rId6"/>
  </sheets>
  <definedNames>
    <definedName name="nis_Rate_yigael_USA">'Yigael USA'!$T$10</definedName>
    <definedName name="Profit_nis_Yigael_USA">'Yigael USA'!$Q$9</definedName>
    <definedName name="Profit_Percent_Yigael_USA">'Yigael USA'!$S$1</definedName>
    <definedName name="Profit_Percentage_Yigael_USA">'Yigael USA'!$S$1</definedName>
    <definedName name="Realized_and_Unrealized_Profit_Yigael_USA">'Yigael USA'!$Q$1</definedName>
    <definedName name="Realized_Profit_Yigael_USA">'Yigael USA'!$Q$6</definedName>
    <definedName name="Starting_cache_Yigael_USA">'Yigael USA'!$Q$12</definedName>
    <definedName name="Unreqlized_Profit_Yigael_USA">'Yigael USA'!$R$6</definedName>
    <definedName name="USD_ILS_Price">'Yigael USA'!$R$17</definedName>
    <definedName name="USD_NIS">'Yigael USA'!$Q$17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77" i="2" l="1"/>
  <c r="M177" i="2"/>
  <c r="K177" i="2"/>
  <c r="J177" i="2"/>
  <c r="I177" i="2"/>
  <c r="M178" i="2"/>
  <c r="I178" i="2"/>
  <c r="H178" i="2"/>
  <c r="D178" i="2"/>
  <c r="H177" i="2"/>
  <c r="D177" i="2"/>
  <c r="H176" i="2"/>
  <c r="D176" i="2"/>
  <c r="J176" i="2"/>
  <c r="I175" i="2"/>
  <c r="I174" i="2"/>
  <c r="H175" i="2"/>
  <c r="D175" i="2"/>
  <c r="J175" i="2"/>
  <c r="H174" i="2"/>
  <c r="D174" i="2"/>
  <c r="I171" i="2"/>
  <c r="I173" i="2"/>
  <c r="H173" i="2"/>
  <c r="D173" i="2"/>
  <c r="J173" i="2"/>
  <c r="I172" i="2"/>
  <c r="H172" i="2"/>
  <c r="J172" i="2" s="1"/>
  <c r="D172" i="2"/>
  <c r="I168" i="2"/>
  <c r="H168" i="2"/>
  <c r="J168" i="2" s="1"/>
  <c r="D168" i="2"/>
  <c r="H171" i="2"/>
  <c r="I167" i="2"/>
  <c r="H167" i="2"/>
  <c r="J167" i="2" s="1"/>
  <c r="D171" i="2"/>
  <c r="D167" i="2"/>
  <c r="I165" i="2"/>
  <c r="J165" i="2" s="1"/>
  <c r="I164" i="2"/>
  <c r="H170" i="2"/>
  <c r="D170" i="2"/>
  <c r="I166" i="2"/>
  <c r="H166" i="2"/>
  <c r="J166" i="2" s="1"/>
  <c r="K166" i="2" s="1"/>
  <c r="D166" i="2"/>
  <c r="H165" i="2"/>
  <c r="D165" i="2"/>
  <c r="I162" i="2"/>
  <c r="I163" i="2"/>
  <c r="I161" i="2"/>
  <c r="H161" i="2"/>
  <c r="J161" i="2" s="1"/>
  <c r="D161" i="2"/>
  <c r="I160" i="2"/>
  <c r="I159" i="2"/>
  <c r="H159" i="2"/>
  <c r="J159" i="2" s="1"/>
  <c r="D159" i="2"/>
  <c r="I158" i="2"/>
  <c r="H158" i="2"/>
  <c r="J158" i="2" s="1"/>
  <c r="D158" i="2"/>
  <c r="I156" i="2"/>
  <c r="H164" i="2"/>
  <c r="D164" i="2"/>
  <c r="I157" i="2"/>
  <c r="D157" i="2"/>
  <c r="H157" i="2"/>
  <c r="H163" i="2"/>
  <c r="D163" i="2"/>
  <c r="H160" i="2"/>
  <c r="D160" i="2"/>
  <c r="I155" i="2"/>
  <c r="H156" i="2"/>
  <c r="D156" i="2"/>
  <c r="H162" i="2"/>
  <c r="D162" i="2"/>
  <c r="I2" i="2"/>
  <c r="H2" i="2"/>
  <c r="I3" i="2"/>
  <c r="H3" i="2"/>
  <c r="I4" i="2"/>
  <c r="H4" i="2"/>
  <c r="J4" i="2" s="1"/>
  <c r="I5" i="2"/>
  <c r="H5" i="2"/>
  <c r="J5" i="2" s="1"/>
  <c r="I6" i="2"/>
  <c r="H6" i="2"/>
  <c r="J6" i="2" s="1"/>
  <c r="I7" i="2"/>
  <c r="H7" i="2"/>
  <c r="J7" i="2" s="1"/>
  <c r="I8" i="2"/>
  <c r="H8" i="2"/>
  <c r="J8" i="2"/>
  <c r="I9" i="2"/>
  <c r="H9" i="2"/>
  <c r="J9" i="2"/>
  <c r="I10" i="2"/>
  <c r="H10" i="2"/>
  <c r="J10" i="2"/>
  <c r="I11" i="2"/>
  <c r="H11" i="2"/>
  <c r="J11" i="2"/>
  <c r="M11" i="2" s="1"/>
  <c r="I12" i="2"/>
  <c r="H12" i="2"/>
  <c r="J12" i="2"/>
  <c r="M12" i="2"/>
  <c r="I13" i="2"/>
  <c r="H13" i="2"/>
  <c r="J13" i="2" s="1"/>
  <c r="K13" i="2" s="1"/>
  <c r="I14" i="2"/>
  <c r="K14" i="2" s="1"/>
  <c r="H14" i="2"/>
  <c r="J14" i="2"/>
  <c r="I15" i="2"/>
  <c r="H15" i="2"/>
  <c r="J15" i="2"/>
  <c r="M15" i="2" s="1"/>
  <c r="I16" i="2"/>
  <c r="H16" i="2"/>
  <c r="J16" i="2" s="1"/>
  <c r="I17" i="2"/>
  <c r="H17" i="2"/>
  <c r="J17" i="2" s="1"/>
  <c r="K17" i="2" s="1"/>
  <c r="I18" i="2"/>
  <c r="H18" i="2"/>
  <c r="J18" i="2" s="1"/>
  <c r="I19" i="2"/>
  <c r="H19" i="2"/>
  <c r="J19" i="2" s="1"/>
  <c r="I20" i="2"/>
  <c r="H20" i="2"/>
  <c r="J20" i="2" s="1"/>
  <c r="I21" i="2"/>
  <c r="H21" i="2"/>
  <c r="J21" i="2" s="1"/>
  <c r="I22" i="2"/>
  <c r="H22" i="2"/>
  <c r="J22" i="2" s="1"/>
  <c r="I23" i="2"/>
  <c r="H23" i="2"/>
  <c r="J23" i="2" s="1"/>
  <c r="I24" i="2"/>
  <c r="H24" i="2"/>
  <c r="J24" i="2"/>
  <c r="K24" i="2" s="1"/>
  <c r="I25" i="2"/>
  <c r="H25" i="2"/>
  <c r="J25" i="2" s="1"/>
  <c r="I26" i="2"/>
  <c r="H26" i="2"/>
  <c r="J26" i="2" s="1"/>
  <c r="I27" i="2"/>
  <c r="H27" i="2"/>
  <c r="I28" i="2"/>
  <c r="H28" i="2"/>
  <c r="I29" i="2"/>
  <c r="H29" i="2"/>
  <c r="I30" i="2"/>
  <c r="H30" i="2"/>
  <c r="J30" i="2" s="1"/>
  <c r="I31" i="2"/>
  <c r="H31" i="2"/>
  <c r="J31" i="2"/>
  <c r="I32" i="2"/>
  <c r="H32" i="2"/>
  <c r="I33" i="2"/>
  <c r="H33" i="2"/>
  <c r="J33" i="2"/>
  <c r="I34" i="2"/>
  <c r="H34" i="2"/>
  <c r="J34" i="2"/>
  <c r="K34" i="2"/>
  <c r="I35" i="2"/>
  <c r="H35" i="2"/>
  <c r="J35" i="2" s="1"/>
  <c r="I36" i="2"/>
  <c r="H36" i="2"/>
  <c r="I37" i="2"/>
  <c r="H37" i="2"/>
  <c r="J37" i="2"/>
  <c r="I38" i="2"/>
  <c r="H38" i="2"/>
  <c r="J38" i="2"/>
  <c r="I39" i="2"/>
  <c r="H39" i="2"/>
  <c r="J39" i="2" s="1"/>
  <c r="I40" i="2"/>
  <c r="H40" i="2"/>
  <c r="J40" i="2" s="1"/>
  <c r="I41" i="2"/>
  <c r="H41" i="2"/>
  <c r="I42" i="2"/>
  <c r="H42" i="2"/>
  <c r="J42" i="2" s="1"/>
  <c r="I43" i="2"/>
  <c r="H43" i="2"/>
  <c r="J43" i="2" s="1"/>
  <c r="I44" i="2"/>
  <c r="H44" i="2"/>
  <c r="J44" i="2" s="1"/>
  <c r="I45" i="2"/>
  <c r="H45" i="2"/>
  <c r="I46" i="2"/>
  <c r="H46" i="2"/>
  <c r="J46" i="2" s="1"/>
  <c r="I47" i="2"/>
  <c r="H47" i="2"/>
  <c r="I48" i="2"/>
  <c r="H48" i="2"/>
  <c r="I49" i="2"/>
  <c r="H49" i="2"/>
  <c r="I50" i="2"/>
  <c r="H50" i="2"/>
  <c r="I51" i="2"/>
  <c r="H51" i="2"/>
  <c r="I52" i="2"/>
  <c r="H52" i="2"/>
  <c r="J52" i="2"/>
  <c r="K52" i="2" s="1"/>
  <c r="I53" i="2"/>
  <c r="H53" i="2"/>
  <c r="J53" i="2"/>
  <c r="I54" i="2"/>
  <c r="H54" i="2"/>
  <c r="J54" i="2" s="1"/>
  <c r="I55" i="2"/>
  <c r="H55" i="2"/>
  <c r="J55" i="2" s="1"/>
  <c r="I56" i="2"/>
  <c r="H56" i="2"/>
  <c r="J56" i="2" s="1"/>
  <c r="I57" i="2"/>
  <c r="H57" i="2"/>
  <c r="I58" i="2"/>
  <c r="H58" i="2"/>
  <c r="J58" i="2"/>
  <c r="I60" i="2"/>
  <c r="H60" i="2"/>
  <c r="I61" i="2"/>
  <c r="H61" i="2"/>
  <c r="J61" i="2" s="1"/>
  <c r="I62" i="2"/>
  <c r="H62" i="2"/>
  <c r="J62" i="2" s="1"/>
  <c r="I63" i="2"/>
  <c r="H63" i="2"/>
  <c r="I64" i="2"/>
  <c r="H64" i="2"/>
  <c r="J64" i="2" s="1"/>
  <c r="I65" i="2"/>
  <c r="H65" i="2"/>
  <c r="J65" i="2"/>
  <c r="M65" i="2" s="1"/>
  <c r="I66" i="2"/>
  <c r="H66" i="2"/>
  <c r="I67" i="2"/>
  <c r="H67" i="2"/>
  <c r="J67" i="2"/>
  <c r="K67" i="2"/>
  <c r="I68" i="2"/>
  <c r="H68" i="2"/>
  <c r="J68" i="2" s="1"/>
  <c r="I69" i="2"/>
  <c r="H69" i="2"/>
  <c r="I70" i="2"/>
  <c r="H70" i="2"/>
  <c r="J70" i="2" s="1"/>
  <c r="I71" i="2"/>
  <c r="H71" i="2"/>
  <c r="J71" i="2" s="1"/>
  <c r="I72" i="2"/>
  <c r="H72" i="2"/>
  <c r="I73" i="2"/>
  <c r="H73" i="2"/>
  <c r="J73" i="2"/>
  <c r="I74" i="2"/>
  <c r="H74" i="2"/>
  <c r="J74" i="2" s="1"/>
  <c r="I75" i="2"/>
  <c r="H75" i="2"/>
  <c r="I76" i="2"/>
  <c r="H76" i="2"/>
  <c r="I77" i="2"/>
  <c r="H77" i="2"/>
  <c r="I78" i="2"/>
  <c r="H78" i="2"/>
  <c r="J78" i="2"/>
  <c r="I79" i="2"/>
  <c r="H79" i="2"/>
  <c r="I80" i="2"/>
  <c r="H80" i="2"/>
  <c r="J80" i="2" s="1"/>
  <c r="I81" i="2"/>
  <c r="H81" i="2"/>
  <c r="J81" i="2"/>
  <c r="K81" i="2"/>
  <c r="I82" i="2"/>
  <c r="H82" i="2"/>
  <c r="J82" i="2" s="1"/>
  <c r="I83" i="2"/>
  <c r="H83" i="2"/>
  <c r="I84" i="2"/>
  <c r="H84" i="2"/>
  <c r="I85" i="2"/>
  <c r="H85" i="2"/>
  <c r="J85" i="2"/>
  <c r="I86" i="2"/>
  <c r="H86" i="2"/>
  <c r="I87" i="2"/>
  <c r="H87" i="2"/>
  <c r="I88" i="2"/>
  <c r="H88" i="2"/>
  <c r="J88" i="2" s="1"/>
  <c r="I89" i="2"/>
  <c r="H89" i="2"/>
  <c r="I90" i="2"/>
  <c r="H90" i="2"/>
  <c r="I91" i="2"/>
  <c r="H91" i="2"/>
  <c r="J91" i="2" s="1"/>
  <c r="I92" i="2"/>
  <c r="H92" i="2"/>
  <c r="J92" i="2" s="1"/>
  <c r="I93" i="2"/>
  <c r="H93" i="2"/>
  <c r="J93" i="2" s="1"/>
  <c r="I94" i="2"/>
  <c r="H94" i="2"/>
  <c r="J94" i="2"/>
  <c r="I95" i="2"/>
  <c r="H95" i="2"/>
  <c r="I96" i="2"/>
  <c r="H96" i="2"/>
  <c r="J96" i="2"/>
  <c r="I97" i="2"/>
  <c r="H97" i="2"/>
  <c r="I98" i="2"/>
  <c r="H98" i="2"/>
  <c r="J98" i="2" s="1"/>
  <c r="I99" i="2"/>
  <c r="H99" i="2"/>
  <c r="I100" i="2"/>
  <c r="H100" i="2"/>
  <c r="I101" i="2"/>
  <c r="H101" i="2"/>
  <c r="J101" i="2"/>
  <c r="I102" i="2"/>
  <c r="H102" i="2"/>
  <c r="I103" i="2"/>
  <c r="H103" i="2"/>
  <c r="I104" i="2"/>
  <c r="H104" i="2"/>
  <c r="I105" i="2"/>
  <c r="H105" i="2"/>
  <c r="I106" i="2"/>
  <c r="H106" i="2"/>
  <c r="I107" i="2"/>
  <c r="H107" i="2"/>
  <c r="I108" i="2"/>
  <c r="H108" i="2"/>
  <c r="I109" i="2"/>
  <c r="H109" i="2"/>
  <c r="I110" i="2"/>
  <c r="H110" i="2"/>
  <c r="I111" i="2"/>
  <c r="H111" i="2"/>
  <c r="J111" i="2"/>
  <c r="K111" i="2"/>
  <c r="I112" i="2"/>
  <c r="H112" i="2"/>
  <c r="I113" i="2"/>
  <c r="H113" i="2"/>
  <c r="J113" i="2"/>
  <c r="I114" i="2"/>
  <c r="H114" i="2"/>
  <c r="I115" i="2"/>
  <c r="H115" i="2"/>
  <c r="J115" i="2" s="1"/>
  <c r="I116" i="2"/>
  <c r="H116" i="2"/>
  <c r="I117" i="2"/>
  <c r="H117" i="2"/>
  <c r="J117" i="2" s="1"/>
  <c r="I118" i="2"/>
  <c r="H118" i="2"/>
  <c r="I119" i="2"/>
  <c r="H119" i="2"/>
  <c r="J119" i="2" s="1"/>
  <c r="I120" i="2"/>
  <c r="J120" i="2" s="1"/>
  <c r="H120" i="2"/>
  <c r="I121" i="2"/>
  <c r="H121" i="2"/>
  <c r="I122" i="2"/>
  <c r="H122" i="2"/>
  <c r="I123" i="2"/>
  <c r="H123" i="2"/>
  <c r="I124" i="2"/>
  <c r="H124" i="2"/>
  <c r="J124" i="2" s="1"/>
  <c r="I125" i="2"/>
  <c r="H125" i="2"/>
  <c r="I126" i="2"/>
  <c r="H126" i="2"/>
  <c r="J126" i="2"/>
  <c r="K126" i="2"/>
  <c r="I127" i="2"/>
  <c r="H127" i="2"/>
  <c r="J127" i="2" s="1"/>
  <c r="I128" i="2"/>
  <c r="H128" i="2"/>
  <c r="J128" i="2"/>
  <c r="M128" i="2"/>
  <c r="I129" i="2"/>
  <c r="H129" i="2"/>
  <c r="J129" i="2"/>
  <c r="I130" i="2"/>
  <c r="H130" i="2"/>
  <c r="J130" i="2"/>
  <c r="I131" i="2"/>
  <c r="H131" i="2"/>
  <c r="J131" i="2" s="1"/>
  <c r="I132" i="2"/>
  <c r="H132" i="2"/>
  <c r="I133" i="2"/>
  <c r="H133" i="2"/>
  <c r="I134" i="2"/>
  <c r="H134" i="2"/>
  <c r="J134" i="2" s="1"/>
  <c r="I135" i="2"/>
  <c r="J135" i="2" s="1"/>
  <c r="H135" i="2"/>
  <c r="I136" i="2"/>
  <c r="H136" i="2"/>
  <c r="I137" i="2"/>
  <c r="H137" i="2"/>
  <c r="I138" i="2"/>
  <c r="H138" i="2"/>
  <c r="I139" i="2"/>
  <c r="H139" i="2"/>
  <c r="J139" i="2"/>
  <c r="M139" i="2"/>
  <c r="I140" i="2"/>
  <c r="H140" i="2"/>
  <c r="J140" i="2" s="1"/>
  <c r="I141" i="2"/>
  <c r="H141" i="2"/>
  <c r="J141" i="2" s="1"/>
  <c r="I142" i="2"/>
  <c r="H142" i="2"/>
  <c r="J142" i="2" s="1"/>
  <c r="I143" i="2"/>
  <c r="H143" i="2"/>
  <c r="I144" i="2"/>
  <c r="H144" i="2"/>
  <c r="I145" i="2"/>
  <c r="H145" i="2"/>
  <c r="I146" i="2"/>
  <c r="H146" i="2"/>
  <c r="J146" i="2" s="1"/>
  <c r="I147" i="2"/>
  <c r="H147" i="2"/>
  <c r="I148" i="2"/>
  <c r="H148" i="2"/>
  <c r="J148" i="2" s="1"/>
  <c r="I149" i="2"/>
  <c r="H149" i="2"/>
  <c r="J149" i="2" s="1"/>
  <c r="I150" i="2"/>
  <c r="H150" i="2"/>
  <c r="J150" i="2" s="1"/>
  <c r="I152" i="2"/>
  <c r="H152" i="2"/>
  <c r="I151" i="2"/>
  <c r="H151" i="2"/>
  <c r="J151" i="2"/>
  <c r="M151" i="2"/>
  <c r="I153" i="2"/>
  <c r="H153" i="2"/>
  <c r="J153" i="2"/>
  <c r="I154" i="2"/>
  <c r="H154" i="2"/>
  <c r="J154" i="2" s="1"/>
  <c r="D154" i="2"/>
  <c r="D153" i="2"/>
  <c r="D151" i="2"/>
  <c r="D152" i="2"/>
  <c r="D150" i="2"/>
  <c r="D149" i="2"/>
  <c r="D148" i="2"/>
  <c r="D147" i="2"/>
  <c r="H155" i="2"/>
  <c r="D155" i="2"/>
  <c r="D146" i="2"/>
  <c r="D145" i="2"/>
  <c r="D144" i="2"/>
  <c r="D143" i="2"/>
  <c r="D142" i="2"/>
  <c r="D141" i="2"/>
  <c r="D140" i="2"/>
  <c r="D138" i="2"/>
  <c r="D139" i="2"/>
  <c r="D134" i="2"/>
  <c r="D137" i="2"/>
  <c r="D135" i="2"/>
  <c r="D136" i="2"/>
  <c r="D133" i="2"/>
  <c r="D132" i="2"/>
  <c r="D131" i="2"/>
  <c r="D129" i="2"/>
  <c r="D130" i="2"/>
  <c r="D126" i="2"/>
  <c r="D128" i="2"/>
  <c r="D127" i="2"/>
  <c r="D125" i="2"/>
  <c r="D124" i="2"/>
  <c r="D122" i="2"/>
  <c r="D120" i="2"/>
  <c r="D119" i="2"/>
  <c r="D118" i="2"/>
  <c r="D121" i="2"/>
  <c r="D123" i="2"/>
  <c r="D117" i="2"/>
  <c r="D116" i="2"/>
  <c r="D115" i="2"/>
  <c r="D113" i="2"/>
  <c r="D114" i="2"/>
  <c r="D112" i="2"/>
  <c r="D1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169" i="2"/>
  <c r="D98" i="2"/>
  <c r="D94" i="2"/>
  <c r="D96" i="2"/>
  <c r="D95" i="2"/>
  <c r="D97" i="2"/>
  <c r="D101" i="2"/>
  <c r="D99" i="2"/>
  <c r="D104" i="2"/>
  <c r="D100" i="2"/>
  <c r="D102" i="2"/>
  <c r="D103" i="2"/>
  <c r="D105" i="2"/>
  <c r="D106" i="2"/>
  <c r="D108" i="2"/>
  <c r="D109" i="2"/>
  <c r="D110" i="2"/>
  <c r="D107" i="2"/>
  <c r="D2" i="2"/>
  <c r="J10" i="3"/>
  <c r="N1" i="3"/>
  <c r="H10" i="3"/>
  <c r="J54" i="4"/>
  <c r="G54" i="4" a="1"/>
  <c r="G54" i="4" s="1"/>
  <c r="K54" i="4" s="1"/>
  <c r="A54" i="4" a="1"/>
  <c r="A54" i="4" s="1"/>
  <c r="I54" i="4"/>
  <c r="J53" i="4"/>
  <c r="J51" i="4"/>
  <c r="K53" i="4"/>
  <c r="I53" i="4"/>
  <c r="N53" i="4"/>
  <c r="J50" i="4"/>
  <c r="J52" i="4"/>
  <c r="J49" i="4"/>
  <c r="J48" i="4"/>
  <c r="I48" i="4"/>
  <c r="G48" i="4" a="1"/>
  <c r="G48" i="4" s="1"/>
  <c r="K48" i="4" s="1"/>
  <c r="M48" i="4" s="1"/>
  <c r="A48" i="4" a="1"/>
  <c r="A48" i="4" s="1"/>
  <c r="J47" i="4"/>
  <c r="G52" i="4" a="1"/>
  <c r="G52" i="4" s="1"/>
  <c r="K52" i="4" s="1"/>
  <c r="I52" i="4"/>
  <c r="A52" i="4" a="1"/>
  <c r="A52" i="4" s="1"/>
  <c r="J44" i="4"/>
  <c r="G46" i="4" a="1"/>
  <c r="G46" i="4" s="1"/>
  <c r="K46" i="4" s="1"/>
  <c r="I46" i="4"/>
  <c r="J46" i="4"/>
  <c r="A46" i="4" a="1"/>
  <c r="A46" i="4" s="1"/>
  <c r="G45" i="4" a="1"/>
  <c r="G45" i="4" s="1"/>
  <c r="K45" i="4" s="1"/>
  <c r="I45" i="4"/>
  <c r="J45" i="4"/>
  <c r="A45" i="4" a="1"/>
  <c r="A45" i="4" s="1"/>
  <c r="J43" i="4"/>
  <c r="J42" i="4"/>
  <c r="A44" i="4" a="1"/>
  <c r="A44" i="4" s="1"/>
  <c r="G44" i="4" a="1"/>
  <c r="G44" i="4" s="1"/>
  <c r="K44" i="4" s="1"/>
  <c r="I44" i="4"/>
  <c r="J41" i="4"/>
  <c r="A43" i="4" a="1"/>
  <c r="A43" i="4" s="1"/>
  <c r="G43" i="4" a="1"/>
  <c r="G43" i="4" s="1"/>
  <c r="K43" i="4" s="1"/>
  <c r="M43" i="4" s="1"/>
  <c r="I43" i="4"/>
  <c r="G10" i="3"/>
  <c r="J40" i="4"/>
  <c r="A42" i="4" a="1"/>
  <c r="A42" i="4" s="1"/>
  <c r="G42" i="4" a="1"/>
  <c r="G42" i="4" s="1"/>
  <c r="K42" i="4" s="1"/>
  <c r="I42" i="4"/>
  <c r="A51" i="4" a="1"/>
  <c r="A51" i="4" s="1"/>
  <c r="G51" i="4" a="1"/>
  <c r="G51" i="4" s="1"/>
  <c r="K51" i="4" s="1"/>
  <c r="I51" i="4"/>
  <c r="N51" i="4"/>
  <c r="A41" i="4" a="1"/>
  <c r="A41" i="4" s="1"/>
  <c r="G41" i="4" a="1"/>
  <c r="G41" i="4" s="1"/>
  <c r="K41" i="4" s="1"/>
  <c r="I41" i="4"/>
  <c r="J39" i="4"/>
  <c r="J38" i="4"/>
  <c r="H9" i="3"/>
  <c r="A38" i="4" a="1"/>
  <c r="A38" i="4" s="1"/>
  <c r="G38" i="4" a="1"/>
  <c r="G38" i="4" s="1"/>
  <c r="K38" i="4" s="1"/>
  <c r="I38" i="4"/>
  <c r="A39" i="4" a="1"/>
  <c r="A39" i="4" s="1"/>
  <c r="G39" i="4" a="1"/>
  <c r="G39" i="4" s="1"/>
  <c r="K39" i="4" s="1"/>
  <c r="I39" i="4"/>
  <c r="J37" i="4"/>
  <c r="J36" i="4"/>
  <c r="A36" i="4" a="1"/>
  <c r="A36" i="4" s="1"/>
  <c r="G36" i="4" a="1"/>
  <c r="G36" i="4" s="1"/>
  <c r="K36" i="4" s="1"/>
  <c r="I36" i="4"/>
  <c r="D12" i="6"/>
  <c r="C12" i="6"/>
  <c r="B2" i="6"/>
  <c r="N52" i="4"/>
  <c r="N44" i="4"/>
  <c r="N48" i="4"/>
  <c r="N46" i="4"/>
  <c r="N45" i="4"/>
  <c r="N43" i="4"/>
  <c r="N41" i="4"/>
  <c r="N42" i="4"/>
  <c r="N38" i="4"/>
  <c r="N39" i="4"/>
  <c r="N36" i="4"/>
  <c r="A37" i="4" a="1"/>
  <c r="A37" i="4" s="1"/>
  <c r="G37" i="4" a="1"/>
  <c r="G37" i="4" s="1"/>
  <c r="K37" i="4" s="1"/>
  <c r="I37" i="4"/>
  <c r="N37" i="4"/>
  <c r="J35" i="4"/>
  <c r="J34" i="4"/>
  <c r="A47" i="4" a="1"/>
  <c r="A47" i="4" s="1"/>
  <c r="G47" i="4" a="1"/>
  <c r="G47" i="4" s="1"/>
  <c r="K47" i="4" s="1"/>
  <c r="I47" i="4"/>
  <c r="N47" i="4"/>
  <c r="J33" i="4"/>
  <c r="J31" i="4"/>
  <c r="I40" i="4"/>
  <c r="N40" i="4"/>
  <c r="G40" i="4" a="1"/>
  <c r="G40" i="4" s="1"/>
  <c r="K40" i="4" s="1"/>
  <c r="A40" i="4" a="1"/>
  <c r="A40" i="4" s="1"/>
  <c r="K32" i="4"/>
  <c r="A32" i="4" a="1"/>
  <c r="A32" i="4" s="1"/>
  <c r="J32" i="4"/>
  <c r="I32" i="4"/>
  <c r="R17" i="4" a="1"/>
  <c r="R17" i="4" s="1"/>
  <c r="J29" i="4"/>
  <c r="A33" i="4" a="1"/>
  <c r="A33" i="4" s="1"/>
  <c r="G33" i="4" a="1"/>
  <c r="G33" i="4" s="1"/>
  <c r="K33" i="4" s="1"/>
  <c r="I33" i="4"/>
  <c r="J30" i="4"/>
  <c r="A50" i="4" a="1"/>
  <c r="A50" i="4" s="1"/>
  <c r="G50" i="4" a="1"/>
  <c r="G50" i="4" s="1"/>
  <c r="K50" i="4" s="1"/>
  <c r="I50" i="4"/>
  <c r="N50" i="4"/>
  <c r="J28" i="4"/>
  <c r="A34" i="4" a="1"/>
  <c r="A34" i="4" s="1"/>
  <c r="G34" i="4" a="1"/>
  <c r="G34" i="4" s="1"/>
  <c r="K34" i="4" s="1"/>
  <c r="I34" i="4"/>
  <c r="J27" i="4"/>
  <c r="A27" i="4" a="1"/>
  <c r="A27" i="4" s="1"/>
  <c r="G27" i="4" a="1"/>
  <c r="G27" i="4" s="1"/>
  <c r="K27" i="4" s="1"/>
  <c r="I27" i="4"/>
  <c r="A28" i="4" a="1"/>
  <c r="A28" i="4" s="1"/>
  <c r="G28" i="4" a="1"/>
  <c r="G28" i="4" s="1"/>
  <c r="K28" i="4" s="1"/>
  <c r="I28" i="4"/>
  <c r="J26" i="4"/>
  <c r="A31" i="4" a="1"/>
  <c r="A31" i="4" s="1"/>
  <c r="G31" i="4" a="1"/>
  <c r="G31" i="4" s="1"/>
  <c r="K31" i="4" s="1"/>
  <c r="I31" i="4"/>
  <c r="A49" i="4" a="1"/>
  <c r="A49" i="4" s="1"/>
  <c r="G49" i="4" a="1"/>
  <c r="G49" i="4" s="1"/>
  <c r="K49" i="4" s="1"/>
  <c r="I49" i="4"/>
  <c r="N49" i="4"/>
  <c r="J24" i="4"/>
  <c r="A35" i="4" a="1"/>
  <c r="A35" i="4" s="1"/>
  <c r="G35" i="4" a="1"/>
  <c r="G35" i="4" s="1"/>
  <c r="K35" i="4" s="1"/>
  <c r="I35" i="4"/>
  <c r="J25" i="4"/>
  <c r="A23" i="4" a="1"/>
  <c r="A23" i="4" s="1"/>
  <c r="G23" i="4" a="1"/>
  <c r="G23" i="4" s="1"/>
  <c r="K23" i="4" s="1"/>
  <c r="I23" i="4"/>
  <c r="J23" i="4"/>
  <c r="A21" i="4" a="1"/>
  <c r="A21" i="4" s="1"/>
  <c r="G21" i="4" a="1"/>
  <c r="G21" i="4" s="1"/>
  <c r="K21" i="4" s="1"/>
  <c r="I21" i="4"/>
  <c r="J21" i="4"/>
  <c r="A26" i="4" a="1"/>
  <c r="A26" i="4" s="1"/>
  <c r="G26" i="4" a="1"/>
  <c r="G26" i="4" s="1"/>
  <c r="K26" i="4" s="1"/>
  <c r="I26" i="4"/>
  <c r="J22" i="4"/>
  <c r="J19" i="4"/>
  <c r="A19" i="4" a="1"/>
  <c r="A19" i="4" s="1"/>
  <c r="G19" i="4" a="1"/>
  <c r="G19" i="4" s="1"/>
  <c r="K19" i="4" s="1"/>
  <c r="I19" i="4"/>
  <c r="G22" i="4" a="1"/>
  <c r="G22" i="4" s="1"/>
  <c r="K22" i="4" s="1"/>
  <c r="I22" i="4"/>
  <c r="A22" i="4" a="1"/>
  <c r="A22" i="4" s="1"/>
  <c r="J18" i="4"/>
  <c r="J20" i="4"/>
  <c r="A17" i="4" a="1"/>
  <c r="A17" i="4" s="1"/>
  <c r="G17" i="4" a="1"/>
  <c r="G17" i="4" s="1"/>
  <c r="K17" i="4" s="1"/>
  <c r="I17" i="4"/>
  <c r="J17" i="4"/>
  <c r="A25" i="4" a="1"/>
  <c r="A25" i="4" s="1"/>
  <c r="G25" i="4" a="1"/>
  <c r="G25" i="4" s="1"/>
  <c r="K25" i="4" s="1"/>
  <c r="I25" i="4"/>
  <c r="A18" i="4" a="1"/>
  <c r="A18" i="4" s="1"/>
  <c r="G18" i="4" a="1"/>
  <c r="G18" i="4" s="1"/>
  <c r="K18" i="4" s="1"/>
  <c r="I18" i="4"/>
  <c r="G9" i="3"/>
  <c r="J15" i="4"/>
  <c r="J16" i="4"/>
  <c r="G16" i="4" a="1"/>
  <c r="G16" i="4" s="1"/>
  <c r="K16" i="4" s="1"/>
  <c r="A16" i="4" a="1"/>
  <c r="A16" i="4" s="1"/>
  <c r="I16" i="4"/>
  <c r="J14" i="4"/>
  <c r="I24" i="4"/>
  <c r="G24" i="4" a="1"/>
  <c r="G24" i="4" s="1"/>
  <c r="K24" i="4" s="1"/>
  <c r="A24" i="4" a="1"/>
  <c r="A24" i="4" s="1"/>
  <c r="I30" i="4"/>
  <c r="G30" i="4" a="1"/>
  <c r="G30" i="4" s="1"/>
  <c r="K30" i="4" s="1"/>
  <c r="A30" i="4" a="1"/>
  <c r="A30" i="4" s="1"/>
  <c r="I20" i="4"/>
  <c r="G20" i="4" a="1"/>
  <c r="G20" i="4" s="1"/>
  <c r="K20" i="4" s="1"/>
  <c r="A20" i="4" a="1"/>
  <c r="A20" i="4" s="1"/>
  <c r="A15" i="4" a="1"/>
  <c r="A15" i="4" s="1"/>
  <c r="J13" i="4"/>
  <c r="H8" i="3"/>
  <c r="J8" i="3"/>
  <c r="H7" i="3"/>
  <c r="J7" i="3"/>
  <c r="A29" i="4" a="1"/>
  <c r="A29" i="4" s="1"/>
  <c r="G29" i="4" a="1"/>
  <c r="G29" i="4" s="1"/>
  <c r="K29" i="4" s="1"/>
  <c r="I29" i="4"/>
  <c r="A12" i="4" a="1"/>
  <c r="A12" i="4" s="1"/>
  <c r="G12" i="4" a="1"/>
  <c r="G12" i="4" s="1"/>
  <c r="K12" i="4" s="1"/>
  <c r="I12" i="4"/>
  <c r="J12" i="4"/>
  <c r="A13" i="4" a="1"/>
  <c r="A13" i="4" s="1"/>
  <c r="G13" i="4" a="1"/>
  <c r="G13" i="4" s="1"/>
  <c r="K13" i="4" s="1"/>
  <c r="I13" i="4"/>
  <c r="A3" i="4" a="1"/>
  <c r="A3" i="4" s="1"/>
  <c r="A6" i="4" a="1"/>
  <c r="A6" i="4" s="1"/>
  <c r="A5" i="4" a="1"/>
  <c r="A5" i="4" s="1"/>
  <c r="A4" i="4" a="1"/>
  <c r="A4" i="4" s="1"/>
  <c r="A7" i="4" a="1"/>
  <c r="A7" i="4" s="1"/>
  <c r="A8" i="4" a="1"/>
  <c r="A8" i="4" s="1"/>
  <c r="A9" i="4" a="1"/>
  <c r="A9" i="4" s="1"/>
  <c r="A11" i="4" a="1"/>
  <c r="A11" i="4" s="1"/>
  <c r="A14" i="4" a="1"/>
  <c r="A14" i="4" s="1"/>
  <c r="A10" i="4" a="1"/>
  <c r="A10" i="4" s="1"/>
  <c r="A2" i="4" a="1"/>
  <c r="A2" i="4" s="1"/>
  <c r="I15" i="4"/>
  <c r="G15" i="4" a="1"/>
  <c r="G15" i="4" s="1"/>
  <c r="K15" i="4" s="1"/>
  <c r="J10" i="4"/>
  <c r="I10" i="4"/>
  <c r="G10" i="4" a="1"/>
  <c r="G10" i="4" s="1"/>
  <c r="K10" i="4" s="1"/>
  <c r="J11" i="4"/>
  <c r="G14" i="4" a="1"/>
  <c r="G14" i="4" s="1"/>
  <c r="K14" i="4" s="1"/>
  <c r="I14" i="4"/>
  <c r="G9" i="4" a="1"/>
  <c r="G9" i="4" s="1"/>
  <c r="K9" i="4" s="1"/>
  <c r="I9" i="4"/>
  <c r="J9" i="4"/>
  <c r="G11" i="4" a="1"/>
  <c r="G11" i="4" s="1"/>
  <c r="K11" i="4" s="1"/>
  <c r="I11" i="4"/>
  <c r="J7" i="4"/>
  <c r="I7" i="4"/>
  <c r="G7" i="4" a="1"/>
  <c r="G7" i="4" s="1"/>
  <c r="K7" i="4" s="1"/>
  <c r="J8" i="4"/>
  <c r="G8" i="4" a="1"/>
  <c r="G8" i="4" s="1"/>
  <c r="K8" i="4" s="1"/>
  <c r="G4" i="4" a="1"/>
  <c r="G4" i="4" s="1"/>
  <c r="K4" i="4" s="1"/>
  <c r="I4" i="4"/>
  <c r="G3" i="4" a="1"/>
  <c r="G3" i="4" s="1"/>
  <c r="K3" i="4" s="1"/>
  <c r="G5" i="4" a="1"/>
  <c r="G5" i="4" s="1"/>
  <c r="K5" i="4" s="1"/>
  <c r="I5" i="4"/>
  <c r="G6" i="4" a="1"/>
  <c r="G6" i="4" s="1"/>
  <c r="K6" i="4" s="1"/>
  <c r="I6" i="4"/>
  <c r="G2" i="4" a="1"/>
  <c r="G2" i="4" s="1"/>
  <c r="K2" i="4" s="1"/>
  <c r="I2" i="4"/>
  <c r="J6" i="4"/>
  <c r="J5" i="4"/>
  <c r="J4" i="4"/>
  <c r="I8" i="4"/>
  <c r="J3" i="4"/>
  <c r="I3" i="4"/>
  <c r="J2" i="4"/>
  <c r="G8" i="3"/>
  <c r="G7" i="3"/>
  <c r="H6" i="3"/>
  <c r="J6" i="3"/>
  <c r="H5" i="3"/>
  <c r="J5" i="3"/>
  <c r="G6" i="3"/>
  <c r="H4" i="3"/>
  <c r="J4" i="3"/>
  <c r="G4" i="3"/>
  <c r="G3" i="3"/>
  <c r="H3" i="3"/>
  <c r="J3" i="3"/>
  <c r="G5" i="3"/>
  <c r="H2" i="3"/>
  <c r="G2" i="3"/>
  <c r="J2" i="3"/>
  <c r="J9" i="3"/>
  <c r="N35" i="4"/>
  <c r="N34" i="4"/>
  <c r="N33" i="4"/>
  <c r="N31" i="4"/>
  <c r="N32" i="4"/>
  <c r="N29" i="4"/>
  <c r="N30" i="4"/>
  <c r="N28" i="4"/>
  <c r="N27" i="4"/>
  <c r="N26" i="4"/>
  <c r="N24" i="4"/>
  <c r="N25" i="4"/>
  <c r="N22" i="4"/>
  <c r="N23" i="4"/>
  <c r="N21" i="4"/>
  <c r="N19" i="4"/>
  <c r="N18" i="4"/>
  <c r="N20" i="4"/>
  <c r="N17" i="4"/>
  <c r="N15" i="4"/>
  <c r="N16" i="4"/>
  <c r="N14" i="4"/>
  <c r="N12" i="4"/>
  <c r="N13" i="4"/>
  <c r="N8" i="4"/>
  <c r="N7" i="4"/>
  <c r="N11" i="4"/>
  <c r="N10" i="4"/>
  <c r="N2" i="4"/>
  <c r="N3" i="4"/>
  <c r="N5" i="4"/>
  <c r="N6" i="4"/>
  <c r="N9" i="4"/>
  <c r="N4" i="4"/>
  <c r="R6" i="4"/>
  <c r="N54" i="4"/>
  <c r="Q6" i="4"/>
  <c r="B4" i="6"/>
  <c r="J106" i="2"/>
  <c r="J112" i="2"/>
  <c r="J125" i="2"/>
  <c r="K125" i="2"/>
  <c r="J110" i="2"/>
  <c r="J122" i="2"/>
  <c r="J132" i="2"/>
  <c r="K129" i="2"/>
  <c r="M129" i="2"/>
  <c r="M125" i="2"/>
  <c r="M111" i="2"/>
  <c r="J145" i="2"/>
  <c r="J107" i="2"/>
  <c r="J121" i="2"/>
  <c r="J147" i="2"/>
  <c r="K33" i="2"/>
  <c r="M33" i="2"/>
  <c r="J108" i="2"/>
  <c r="J48" i="2"/>
  <c r="K53" i="2"/>
  <c r="K153" i="2"/>
  <c r="M153" i="2"/>
  <c r="J45" i="2"/>
  <c r="J49" i="2"/>
  <c r="J109" i="2"/>
  <c r="J36" i="2"/>
  <c r="M130" i="2"/>
  <c r="K130" i="2"/>
  <c r="J138" i="2"/>
  <c r="J51" i="2"/>
  <c r="J63" i="2"/>
  <c r="J123" i="2"/>
  <c r="K128" i="2"/>
  <c r="J100" i="2"/>
  <c r="M52" i="2"/>
  <c r="J144" i="2"/>
  <c r="J57" i="2"/>
  <c r="M58" i="2"/>
  <c r="K58" i="2"/>
  <c r="K113" i="2"/>
  <c r="M113" i="2"/>
  <c r="J60" i="2"/>
  <c r="J69" i="2"/>
  <c r="J77" i="2"/>
  <c r="J102" i="2"/>
  <c r="J103" i="2"/>
  <c r="J97" i="2"/>
  <c r="J118" i="2"/>
  <c r="J114" i="2"/>
  <c r="M126" i="2"/>
  <c r="J136" i="2"/>
  <c r="K139" i="2"/>
  <c r="J152" i="2"/>
  <c r="K151" i="2"/>
  <c r="K38" i="2"/>
  <c r="M38" i="2"/>
  <c r="J41" i="2"/>
  <c r="M101" i="2"/>
  <c r="K101" i="2"/>
  <c r="J84" i="2"/>
  <c r="J83" i="2"/>
  <c r="J86" i="2"/>
  <c r="J76" i="2"/>
  <c r="J143" i="2"/>
  <c r="J104" i="2"/>
  <c r="J50" i="2"/>
  <c r="J75" i="2"/>
  <c r="J79" i="2"/>
  <c r="J90" i="2"/>
  <c r="J95" i="2"/>
  <c r="J116" i="2"/>
  <c r="J47" i="2"/>
  <c r="M85" i="2"/>
  <c r="K85" i="2"/>
  <c r="J89" i="2"/>
  <c r="J105" i="2"/>
  <c r="J137" i="2"/>
  <c r="M34" i="2"/>
  <c r="K106" i="2"/>
  <c r="M106" i="2"/>
  <c r="M132" i="2"/>
  <c r="K132" i="2"/>
  <c r="K36" i="2"/>
  <c r="M36" i="2"/>
  <c r="M112" i="2"/>
  <c r="K112" i="2"/>
  <c r="M110" i="2"/>
  <c r="K110" i="2"/>
  <c r="K122" i="2"/>
  <c r="M122" i="2"/>
  <c r="M95" i="2"/>
  <c r="K95" i="2"/>
  <c r="M147" i="2"/>
  <c r="K147" i="2"/>
  <c r="K145" i="2"/>
  <c r="M145" i="2"/>
  <c r="M107" i="2"/>
  <c r="K107" i="2"/>
  <c r="M121" i="2"/>
  <c r="K121" i="2"/>
  <c r="M48" i="2"/>
  <c r="K48" i="2"/>
  <c r="K47" i="2"/>
  <c r="M47" i="2"/>
  <c r="K108" i="2"/>
  <c r="M108" i="2"/>
  <c r="K109" i="2"/>
  <c r="M109" i="2"/>
  <c r="K63" i="2"/>
  <c r="M63" i="2"/>
  <c r="K45" i="2"/>
  <c r="M45" i="2"/>
  <c r="M49" i="2"/>
  <c r="K49" i="2"/>
  <c r="K138" i="2"/>
  <c r="M138" i="2"/>
  <c r="M137" i="2"/>
  <c r="K137" i="2"/>
  <c r="K123" i="2"/>
  <c r="M123" i="2"/>
  <c r="K41" i="2"/>
  <c r="M41" i="2"/>
  <c r="M51" i="2"/>
  <c r="K51" i="2"/>
  <c r="K100" i="2"/>
  <c r="M100" i="2"/>
  <c r="M144" i="2"/>
  <c r="K144" i="2"/>
  <c r="M57" i="2"/>
  <c r="K57" i="2"/>
  <c r="M102" i="2"/>
  <c r="K102" i="2"/>
  <c r="M103" i="2"/>
  <c r="K103" i="2"/>
  <c r="M97" i="2"/>
  <c r="K97" i="2"/>
  <c r="K118" i="2"/>
  <c r="M118" i="2"/>
  <c r="K114" i="2"/>
  <c r="M114" i="2"/>
  <c r="M136" i="2"/>
  <c r="K136" i="2"/>
  <c r="K152" i="2"/>
  <c r="M152" i="2"/>
  <c r="M60" i="2"/>
  <c r="K60" i="2"/>
  <c r="K69" i="2"/>
  <c r="M69" i="2"/>
  <c r="K77" i="2"/>
  <c r="M77" i="2"/>
  <c r="K90" i="2"/>
  <c r="M90" i="2"/>
  <c r="M84" i="2"/>
  <c r="K84" i="2"/>
  <c r="K83" i="2"/>
  <c r="M83" i="2"/>
  <c r="M86" i="2"/>
  <c r="K86" i="2"/>
  <c r="M76" i="2"/>
  <c r="K76" i="2"/>
  <c r="M143" i="2"/>
  <c r="K143" i="2"/>
  <c r="K104" i="2"/>
  <c r="M104" i="2"/>
  <c r="K50" i="2"/>
  <c r="M50" i="2"/>
  <c r="K75" i="2"/>
  <c r="M75" i="2"/>
  <c r="M79" i="2"/>
  <c r="K79" i="2"/>
  <c r="K116" i="2"/>
  <c r="M116" i="2"/>
  <c r="K105" i="2"/>
  <c r="M105" i="2"/>
  <c r="J178" i="2" l="1"/>
  <c r="K178" i="2" s="1"/>
  <c r="J156" i="2"/>
  <c r="J164" i="2"/>
  <c r="J2" i="2"/>
  <c r="K2" i="2" s="1"/>
  <c r="M24" i="2"/>
  <c r="M53" i="2"/>
  <c r="M67" i="2"/>
  <c r="J72" i="2"/>
  <c r="M81" i="2"/>
  <c r="J87" i="2"/>
  <c r="K88" i="2"/>
  <c r="M88" i="2"/>
  <c r="M98" i="2"/>
  <c r="K98" i="2"/>
  <c r="M117" i="2"/>
  <c r="K117" i="2"/>
  <c r="K120" i="2"/>
  <c r="M120" i="2"/>
  <c r="K131" i="2"/>
  <c r="M131" i="2"/>
  <c r="K135" i="2"/>
  <c r="M135" i="2"/>
  <c r="M89" i="2"/>
  <c r="K89" i="2"/>
  <c r="M166" i="2"/>
  <c r="J157" i="2"/>
  <c r="J163" i="2"/>
  <c r="J160" i="2"/>
  <c r="J162" i="2"/>
  <c r="K11" i="2"/>
  <c r="K12" i="2"/>
  <c r="M13" i="2"/>
  <c r="M14" i="2"/>
  <c r="K15" i="2"/>
  <c r="J27" i="2"/>
  <c r="J28" i="2"/>
  <c r="J29" i="2"/>
  <c r="K65" i="2"/>
  <c r="J66" i="2"/>
  <c r="M17" i="2"/>
  <c r="J99" i="2"/>
  <c r="J133" i="2"/>
  <c r="K35" i="2"/>
  <c r="M35" i="2"/>
  <c r="M37" i="2"/>
  <c r="K37" i="2"/>
  <c r="M39" i="2"/>
  <c r="K39" i="2"/>
  <c r="M40" i="2"/>
  <c r="K40" i="2"/>
  <c r="M42" i="2"/>
  <c r="K42" i="2"/>
  <c r="M43" i="2"/>
  <c r="K43" i="2"/>
  <c r="M44" i="2"/>
  <c r="K44" i="2"/>
  <c r="K46" i="2"/>
  <c r="M46" i="2"/>
  <c r="M56" i="2"/>
  <c r="K56" i="2"/>
  <c r="M61" i="2"/>
  <c r="K61" i="2"/>
  <c r="M62" i="2"/>
  <c r="K62" i="2"/>
  <c r="K64" i="2"/>
  <c r="M64" i="2"/>
  <c r="K68" i="2"/>
  <c r="M68" i="2"/>
  <c r="K70" i="2"/>
  <c r="M70" i="2"/>
  <c r="K71" i="2"/>
  <c r="M71" i="2"/>
  <c r="K73" i="2"/>
  <c r="M73" i="2"/>
  <c r="K74" i="2"/>
  <c r="M74" i="2"/>
  <c r="M78" i="2"/>
  <c r="K78" i="2"/>
  <c r="K80" i="2"/>
  <c r="M80" i="2"/>
  <c r="K82" i="2"/>
  <c r="M82" i="2"/>
  <c r="M91" i="2"/>
  <c r="K91" i="2"/>
  <c r="K92" i="2"/>
  <c r="M92" i="2"/>
  <c r="K93" i="2"/>
  <c r="M93" i="2"/>
  <c r="K94" i="2"/>
  <c r="M94" i="2"/>
  <c r="M96" i="2"/>
  <c r="K96" i="2"/>
  <c r="K119" i="2"/>
  <c r="M119" i="2"/>
  <c r="K141" i="2"/>
  <c r="M141" i="2"/>
  <c r="M148" i="2"/>
  <c r="K148" i="2"/>
  <c r="M150" i="2"/>
  <c r="K150" i="2"/>
  <c r="J174" i="2"/>
  <c r="K174" i="2" s="1"/>
  <c r="M174" i="2"/>
  <c r="K172" i="2"/>
  <c r="M172" i="2"/>
  <c r="M168" i="2"/>
  <c r="K168" i="2"/>
  <c r="M167" i="2"/>
  <c r="K167" i="2"/>
  <c r="K165" i="2"/>
  <c r="M165" i="2"/>
  <c r="M161" i="2"/>
  <c r="K161" i="2"/>
  <c r="K159" i="2"/>
  <c r="M159" i="2"/>
  <c r="K158" i="2"/>
  <c r="M158" i="2"/>
  <c r="J155" i="2"/>
  <c r="M155" i="2"/>
  <c r="K155" i="2"/>
  <c r="M2" i="2"/>
  <c r="J3" i="2"/>
  <c r="K4" i="2"/>
  <c r="M4" i="2"/>
  <c r="M5" i="2"/>
  <c r="K5" i="2"/>
  <c r="M6" i="2"/>
  <c r="K6" i="2"/>
  <c r="K7" i="2"/>
  <c r="M7" i="2"/>
  <c r="K8" i="2"/>
  <c r="M8" i="2"/>
  <c r="M9" i="2"/>
  <c r="K9" i="2"/>
  <c r="M10" i="2"/>
  <c r="K10" i="2"/>
  <c r="M16" i="2"/>
  <c r="K16" i="2"/>
  <c r="M18" i="2"/>
  <c r="K18" i="2"/>
  <c r="M19" i="2"/>
  <c r="K19" i="2"/>
  <c r="K20" i="2"/>
  <c r="M20" i="2"/>
  <c r="M21" i="2"/>
  <c r="K21" i="2"/>
  <c r="M22" i="2"/>
  <c r="K22" i="2"/>
  <c r="K23" i="2"/>
  <c r="M23" i="2"/>
  <c r="M25" i="2"/>
  <c r="K25" i="2"/>
  <c r="M26" i="2"/>
  <c r="K26" i="2"/>
  <c r="K30" i="2"/>
  <c r="M30" i="2"/>
  <c r="K31" i="2"/>
  <c r="M31" i="2"/>
  <c r="J32" i="2"/>
  <c r="M32" i="2"/>
  <c r="K32" i="2"/>
  <c r="M54" i="2"/>
  <c r="K54" i="2"/>
  <c r="M55" i="2"/>
  <c r="K55" i="2"/>
  <c r="M115" i="2"/>
  <c r="K115" i="2"/>
  <c r="K140" i="2"/>
  <c r="M140" i="2"/>
  <c r="M175" i="2"/>
  <c r="K175" i="2"/>
  <c r="J171" i="2"/>
  <c r="K171" i="2" s="1"/>
  <c r="M171" i="2"/>
  <c r="M173" i="2"/>
  <c r="K173" i="2"/>
  <c r="M124" i="2"/>
  <c r="K124" i="2"/>
  <c r="K127" i="2"/>
  <c r="M127" i="2"/>
  <c r="K134" i="2"/>
  <c r="M134" i="2"/>
  <c r="K142" i="2"/>
  <c r="M142" i="2"/>
  <c r="M146" i="2"/>
  <c r="K146" i="2"/>
  <c r="M149" i="2"/>
  <c r="K149" i="2"/>
  <c r="M154" i="2"/>
  <c r="K154" i="2"/>
  <c r="Q138" i="2"/>
  <c r="Q111" i="2"/>
  <c r="B3" i="6"/>
  <c r="Q1" i="4"/>
  <c r="M156" i="2" l="1"/>
  <c r="K156" i="2"/>
  <c r="K164" i="2"/>
  <c r="M164" i="2"/>
  <c r="K72" i="2"/>
  <c r="M72" i="2"/>
  <c r="M87" i="2"/>
  <c r="Q91" i="2" s="1"/>
  <c r="K87" i="2"/>
  <c r="K157" i="2"/>
  <c r="M157" i="2"/>
  <c r="Q156" i="2" s="1"/>
  <c r="M163" i="2"/>
  <c r="K163" i="2"/>
  <c r="K160" i="2"/>
  <c r="M160" i="2"/>
  <c r="M162" i="2"/>
  <c r="K162" i="2"/>
  <c r="M27" i="2"/>
  <c r="K27" i="2"/>
  <c r="K28" i="2"/>
  <c r="M28" i="2"/>
  <c r="M29" i="2"/>
  <c r="K29" i="2"/>
  <c r="M66" i="2"/>
  <c r="K66" i="2"/>
  <c r="K99" i="2"/>
  <c r="M99" i="2"/>
  <c r="Q107" i="2" s="1"/>
  <c r="M133" i="2"/>
  <c r="Q120" i="2" s="1"/>
  <c r="K133" i="2"/>
  <c r="N2" i="2"/>
  <c r="Q169" i="2"/>
  <c r="K3" i="2"/>
  <c r="M3" i="2"/>
  <c r="N178" i="2" s="1"/>
  <c r="N136" i="2"/>
  <c r="Q9" i="4"/>
  <c r="B7" i="6"/>
  <c r="S14" i="4"/>
  <c r="S1" i="4"/>
  <c r="B6" i="6" s="1"/>
  <c r="B5" i="6"/>
  <c r="Q89" i="2" l="1"/>
  <c r="N171" i="2"/>
  <c r="N145" i="2"/>
  <c r="N135" i="2"/>
  <c r="N158" i="2"/>
  <c r="N168" i="2"/>
  <c r="N99" i="2"/>
  <c r="N138" i="2"/>
  <c r="Q1" i="2"/>
  <c r="T1" i="2" s="1"/>
  <c r="N153" i="2"/>
  <c r="N149" i="2"/>
  <c r="N126" i="2"/>
  <c r="N162" i="2"/>
  <c r="N161" i="2"/>
  <c r="N174" i="2"/>
  <c r="N154" i="2"/>
  <c r="N139" i="2"/>
  <c r="N152" i="2"/>
  <c r="N156" i="2"/>
  <c r="N165" i="2"/>
  <c r="N127" i="2"/>
  <c r="N131" i="2"/>
  <c r="N129" i="2"/>
  <c r="N155" i="2"/>
  <c r="N159" i="2"/>
  <c r="N173" i="2"/>
  <c r="N143" i="2"/>
  <c r="N133" i="2"/>
  <c r="N157" i="2"/>
  <c r="N172" i="2"/>
  <c r="N132" i="2"/>
  <c r="N137" i="2"/>
  <c r="N125" i="2"/>
  <c r="N144" i="2"/>
  <c r="N142" i="2"/>
  <c r="N151" i="2"/>
  <c r="N166" i="2"/>
  <c r="N109" i="2"/>
  <c r="N75" i="2"/>
  <c r="N55" i="2"/>
  <c r="N49" i="2"/>
  <c r="N35" i="2"/>
  <c r="N108" i="2"/>
  <c r="N38" i="2"/>
  <c r="N34" i="2"/>
  <c r="N24" i="2"/>
  <c r="N28" i="2"/>
  <c r="N20" i="2"/>
  <c r="N27" i="2"/>
  <c r="N4" i="2"/>
  <c r="N86" i="2"/>
  <c r="N81" i="2"/>
  <c r="N118" i="2"/>
  <c r="N112" i="2"/>
  <c r="N56" i="2"/>
  <c r="N110" i="2"/>
  <c r="N91" i="2"/>
  <c r="N89" i="2"/>
  <c r="N29" i="2"/>
  <c r="N61" i="2"/>
  <c r="N101" i="2"/>
  <c r="N60" i="2"/>
  <c r="N120" i="2"/>
  <c r="N59" i="2"/>
  <c r="N122" i="2"/>
  <c r="N74" i="2"/>
  <c r="N87" i="2"/>
  <c r="N96" i="2"/>
  <c r="N93" i="2"/>
  <c r="N114" i="2"/>
  <c r="N100" i="2"/>
  <c r="N115" i="2"/>
  <c r="N175" i="2"/>
  <c r="N104" i="2"/>
  <c r="N63" i="2"/>
  <c r="N33" i="2"/>
  <c r="N46" i="2"/>
  <c r="N39" i="2"/>
  <c r="N69" i="2"/>
  <c r="N40" i="2"/>
  <c r="N43" i="2"/>
  <c r="N31" i="2"/>
  <c r="N47" i="2"/>
  <c r="N22" i="2"/>
  <c r="N18" i="2"/>
  <c r="N45" i="2"/>
  <c r="N7" i="2"/>
  <c r="N6" i="2"/>
  <c r="N8" i="2"/>
  <c r="N48" i="2"/>
  <c r="N11" i="2"/>
  <c r="N21" i="2"/>
  <c r="N10" i="2"/>
  <c r="N16" i="2"/>
  <c r="N19" i="2"/>
  <c r="N26" i="2"/>
  <c r="N3" i="2"/>
  <c r="N53" i="2"/>
  <c r="N52" i="2"/>
  <c r="N64" i="2"/>
  <c r="N51" i="2"/>
  <c r="N44" i="2"/>
  <c r="N66" i="2"/>
  <c r="N92" i="2"/>
  <c r="N119" i="2"/>
  <c r="N111" i="2"/>
  <c r="N73" i="2"/>
  <c r="N50" i="2"/>
  <c r="N98" i="2"/>
  <c r="N65" i="2"/>
  <c r="N117" i="2"/>
  <c r="N90" i="2"/>
  <c r="N57" i="2"/>
  <c r="N68" i="2"/>
  <c r="N76" i="2"/>
  <c r="N70" i="2"/>
  <c r="N72" i="2"/>
  <c r="N71" i="2"/>
  <c r="N79" i="2"/>
  <c r="N84" i="2"/>
  <c r="N17" i="2"/>
  <c r="N9" i="2"/>
  <c r="N13" i="2"/>
  <c r="N80" i="2"/>
  <c r="N123" i="2"/>
  <c r="N67" i="2"/>
  <c r="N95" i="2"/>
  <c r="N106" i="2"/>
  <c r="N97" i="2"/>
  <c r="N113" i="2"/>
  <c r="N103" i="2"/>
  <c r="N88" i="2"/>
  <c r="N83" i="2"/>
  <c r="N85" i="2"/>
  <c r="N121" i="2"/>
  <c r="N102" i="2"/>
  <c r="N105" i="2"/>
  <c r="N77" i="2"/>
  <c r="N42" i="2"/>
  <c r="N41" i="2"/>
  <c r="N94" i="2"/>
  <c r="N36" i="2"/>
  <c r="N78" i="2"/>
  <c r="N62" i="2"/>
  <c r="N107" i="2"/>
  <c r="N54" i="2"/>
  <c r="N82" i="2"/>
  <c r="N58" i="2"/>
  <c r="N32" i="2"/>
  <c r="N37" i="2"/>
  <c r="N116" i="2"/>
  <c r="N14" i="2"/>
  <c r="N15" i="2"/>
  <c r="N30" i="2"/>
  <c r="N12" i="2"/>
  <c r="N25" i="2"/>
  <c r="N23" i="2"/>
  <c r="N5" i="2"/>
  <c r="N147" i="2"/>
  <c r="N128" i="2"/>
  <c r="N140" i="2"/>
  <c r="N134" i="2"/>
  <c r="N141" i="2"/>
  <c r="N124" i="2"/>
  <c r="N150" i="2"/>
  <c r="N148" i="2"/>
  <c r="N130" i="2"/>
  <c r="N160" i="2"/>
  <c r="N163" i="2"/>
  <c r="N167" i="2"/>
  <c r="N164" i="2"/>
  <c r="N14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61"/>
        </ext>
      </extLst>
    </bk>
    <bk>
      <extLst>
        <ext uri="{3e2802c4-a4d2-4d8b-9148-e3be6c30e623}">
          <xlrd:rvb i="64"/>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<sst xmlns="http://schemas.openxmlformats.org/spreadsheetml/2006/main" count="268" uniqueCount="107">
  <si>
    <t>Instrument</t>
  </si>
  <si>
    <t>Buy Date</t>
  </si>
  <si>
    <t>Sell Date</t>
  </si>
  <si>
    <t>Buy Price</t>
  </si>
  <si>
    <t>Sell Price</t>
  </si>
  <si>
    <t>Amount</t>
  </si>
  <si>
    <t>Buy Value</t>
  </si>
  <si>
    <t>Sell Value</t>
  </si>
  <si>
    <t>Commission</t>
  </si>
  <si>
    <t>P&amp;L %</t>
  </si>
  <si>
    <t>Dividand</t>
  </si>
  <si>
    <t>P&amp;L</t>
  </si>
  <si>
    <t>Accumulated P&amp;L</t>
  </si>
  <si>
    <t>Profit</t>
  </si>
  <si>
    <t>Profit Percent</t>
  </si>
  <si>
    <t>Starting cache</t>
  </si>
  <si>
    <t>דלק קבוצה</t>
  </si>
  <si>
    <t>לאומי</t>
  </si>
  <si>
    <t>Mizrahi</t>
  </si>
  <si>
    <t>אלביט מערכות</t>
  </si>
  <si>
    <t>הפניקס</t>
  </si>
  <si>
    <t>בנק הפועלים מ"ר 1</t>
  </si>
  <si>
    <t>שנפ</t>
  </si>
  <si>
    <t>דיסקונט א</t>
  </si>
  <si>
    <t>ישראכרט</t>
  </si>
  <si>
    <t>הבורסה לני"ע בת"א</t>
  </si>
  <si>
    <t>הראל השקעות</t>
  </si>
  <si>
    <t>פועלים</t>
  </si>
  <si>
    <t xml:space="preserve">פז נפט </t>
  </si>
  <si>
    <t>שופרסל</t>
  </si>
  <si>
    <t>מזרחי טפחות</t>
  </si>
  <si>
    <t>תמר פטרוליום</t>
  </si>
  <si>
    <t>הבנלאומי</t>
  </si>
  <si>
    <t>רמי לווי</t>
  </si>
  <si>
    <t>מנורה מב החז</t>
  </si>
  <si>
    <t>טבע מר</t>
  </si>
  <si>
    <t>אל על</t>
  </si>
  <si>
    <t>לא נשמר אבל ידוע רווח</t>
  </si>
  <si>
    <t>סלע נדלן</t>
  </si>
  <si>
    <t>בינלואמי</t>
  </si>
  <si>
    <t>נובה</t>
  </si>
  <si>
    <t>מיטב טרייד</t>
  </si>
  <si>
    <t>מימון ישיר</t>
  </si>
  <si>
    <t>Profits  Aug-December 2024</t>
  </si>
  <si>
    <t>IBIT</t>
  </si>
  <si>
    <t>39.0885$</t>
  </si>
  <si>
    <t>5081.51$</t>
  </si>
  <si>
    <t>פרטנר מ"ר</t>
  </si>
  <si>
    <t>Symbol</t>
  </si>
  <si>
    <t>Instrumant</t>
  </si>
  <si>
    <t>Current Price</t>
  </si>
  <si>
    <t>Order ammount</t>
  </si>
  <si>
    <t>Current Value</t>
  </si>
  <si>
    <t>Potential P&amp;L</t>
  </si>
  <si>
    <t>Profit Loss on close</t>
  </si>
  <si>
    <t>Comments</t>
  </si>
  <si>
    <t>Realized and Unrealized Profit</t>
  </si>
  <si>
    <t>Realized Profit $</t>
  </si>
  <si>
    <t>Unreqlized Profit</t>
  </si>
  <si>
    <t>Profit nis</t>
  </si>
  <si>
    <t>Profit minux tax</t>
  </si>
  <si>
    <t>(XNYS:IBIT)</t>
  </si>
  <si>
    <t>Stats Yigael USA</t>
  </si>
  <si>
    <t>Starting Cache</t>
  </si>
  <si>
    <t>Unrealized P&amp;L</t>
  </si>
  <si>
    <t>Realized P&amp;L</t>
  </si>
  <si>
    <t>All P&amp;L</t>
  </si>
  <si>
    <t>All P&amp;L %</t>
  </si>
  <si>
    <t>ALL P&amp;L INS</t>
  </si>
  <si>
    <t>Portfolio worth</t>
  </si>
  <si>
    <t>Date</t>
  </si>
  <si>
    <t>worth</t>
  </si>
  <si>
    <t>Diff</t>
  </si>
  <si>
    <t>Diff %</t>
  </si>
  <si>
    <t>Event</t>
  </si>
  <si>
    <t>Notes</t>
  </si>
  <si>
    <t>Sold Microsoft RSUs - Amount 61</t>
  </si>
  <si>
    <t>Sold Micrsoft ESPP - Amount 14.8</t>
  </si>
  <si>
    <t>Leumi Bank</t>
  </si>
  <si>
    <t>Discont Bank</t>
  </si>
  <si>
    <t>ב.לאומי מ"ר 1</t>
  </si>
  <si>
    <t>Year-Month</t>
  </si>
  <si>
    <t>Pofits 2024-12</t>
  </si>
  <si>
    <t>Profits 2025-01</t>
  </si>
  <si>
    <t>Profits 2025-02</t>
  </si>
  <si>
    <t>אמות</t>
  </si>
  <si>
    <t>עזראלי קבוצה</t>
  </si>
  <si>
    <t>אנרג'יאן</t>
  </si>
  <si>
    <t>Profits 2025-03</t>
  </si>
  <si>
    <t>דיסקונט השקעות</t>
  </si>
  <si>
    <t>ניו-מד אנרגיה</t>
  </si>
  <si>
    <t>יוחננוף</t>
  </si>
  <si>
    <t>איביאי  בית  השק</t>
  </si>
  <si>
    <t>אלטשולר שחם פג</t>
  </si>
  <si>
    <t>דלתא מותגים</t>
  </si>
  <si>
    <t>קמטק</t>
  </si>
  <si>
    <t>Profits 2025-04</t>
  </si>
  <si>
    <t>Profits 2025-05</t>
  </si>
  <si>
    <t>נייס</t>
  </si>
  <si>
    <t>גב-ים</t>
  </si>
  <si>
    <t>פוקס</t>
  </si>
  <si>
    <t>נקסט ויז'ן</t>
  </si>
  <si>
    <t>מקס סטוק</t>
  </si>
  <si>
    <t>שטראוס גרופ</t>
  </si>
  <si>
    <t>Profits 2025-06</t>
  </si>
  <si>
    <t>טאואר</t>
  </si>
  <si>
    <t>דניה סיבוס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</si>
</sst>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_([$$-409]* #,##0.00_);_([$$-409]* \(#,##0.00\);_([$$-409]* &quot;-&quot;??_);_(@_)"/>
    <numFmt numFmtId="166" formatCode="yyyy\-mm\-dd"/>
    <numFmt numFmtId="167" formatCode="0.0%"/>
  </numFmts>
  <fonts count="10" x14ac:knownFonts="1">
    <font>
      <sz val="11"/>
      <color theme="1"/>
      <name val="Calibri"/>
      <family val="2"/>
      <scheme val="minor"/>
    </font>
    <font>
      <sz val="12"/>
      <color theme="1"/>
      <name val="Calibri"/>
      <family val="2"/>
      <scheme val="minor"/>
    </font>
    <font>
      <sz val="12"/>
      <color rgb="FF242424"/>
      <name val="Segoe UI"/>
      <family val="2"/>
    </font>
    <font>
      <sz val="12"/>
      <color rgb="FF242424"/>
      <name val="Cascadia Mono"/>
      <family val="3"/>
    </font>
    <font>
      <sz val="12"/>
      <color rgb="FF1F1F1F"/>
      <name val="Arial"/>
      <family val="2"/>
    </font>
    <font>
      <sz val="11"/>
      <color rgb="FF242424"/>
      <name val="Courier New"/>
      <family val="3"/>
    </font>
    <font>
      <b/>
      <sz val="12"/>
      <color theme="1"/>
      <name val="Calibri"/>
      <family val="2"/>
      <scheme val="minor"/>
    </font>
    <font>
      <b/>
      <sz val="11"/>
      <color theme="1"/>
      <name val="Calibri"/>
      <family val="2"/>
      <scheme val="minor"/>
    </font>
    <font>
      <sz val="11"/>
      <color rgb="FF242424"/>
      <name val="Consolas"/>
      <family val="3"/>
    </font>
    <font>
      <sz val="11"/>
      <color rgb="FF222020"/>
      <name val="Arial"/>
      <family val="2"/>
    </font>
  </fonts>
  <fills count="2">
    <fill>
      <patternFill patternType="none"/>
    </fill>
    <fill>
      <patternFill patternType="gray125"/>
    </fill>
  </fills>
  <borders count="3">
    <border>
      <left/>
      <right/>
      <top/>
      <bottom/>
      <diagonal/>
    </border>
    <border>
      <left/>
      <right/>
      <top style="thin">
        <color theme="8" tint="0.39997558519241921"/>
      </top>
      <bottom style="thin">
        <color theme="8" tint="0.39997558519241921"/>
      </bottom>
      <diagonal/>
    </border>
    <border>
      <left/>
      <right/>
      <top style="thin">
        <color theme="8" tint="0.39997558519241921"/>
      </top>
      <bottom/>
      <diagonal/>
    </border>
  </borders>
  <cellStyleXfs count="1">
    <xf numFmtId="0" fontId="0" fillId="0" borderId="0"/>
  </cellStyleXfs>
  <cellXfs count="24">
    <xf numFmtId="0" fontId="0" fillId="0" borderId="0" xfId="0"/>
    <xf numFmtId="164" fontId="0" fillId="0" borderId="0" xfId="0" applyNumberFormat="1"/>
    <xf numFmtId="2" fontId="0" fillId="0" borderId="0" xfId="0" applyNumberFormat="1"/>
    <xf numFmtId="2" fontId="0" fillId="0" borderId="1" xfId="0" applyNumberFormat="1" applyBorder="1"/>
    <xf numFmtId="2" fontId="0" fillId="0" borderId="2" xfId="0" applyNumberFormat="1" applyBorder="1"/>
    <xf numFmtId="14" fontId="0" fillId="0" borderId="0" xfId="0" applyNumberFormat="1"/>
    <xf numFmtId="0" fontId="1" fillId="0" borderId="0" xfId="0" applyFont="1"/>
    <xf numFmtId="2" fontId="1" fillId="0" borderId="0" xfId="0" applyNumberFormat="1" applyFont="1"/>
    <xf numFmtId="165" fontId="1" fillId="0" borderId="0" xfId="0" applyNumberFormat="1" applyFont="1"/>
    <xf numFmtId="164" fontId="1" fillId="0" borderId="0" xfId="0" applyNumberFormat="1" applyFont="1"/>
    <xf numFmtId="165" fontId="2" fillId="0" borderId="0" xfId="0" applyNumberFormat="1" applyFont="1"/>
    <xf numFmtId="0" fontId="3" fillId="0" borderId="0" xfId="0" applyFont="1"/>
    <xf numFmtId="14" fontId="1"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166" fontId="0" fillId="0" borderId="0" xfId="0" applyNumberFormat="1"/>
    <xf numFmtId="4" fontId="0" fillId="0" borderId="0" xfId="0" applyNumberFormat="1"/>
    <xf numFmtId="167" fontId="0" fillId="0" borderId="0" xfId="0" applyNumberFormat="1"/>
    <xf numFmtId="0" fontId="8" fillId="0" borderId="0" xfId="0" applyFont="1"/>
    <xf numFmtId="1" fontId="0" fillId="0" borderId="0" xfId="0" applyNumberFormat="1"/>
    <xf numFmtId="0" fontId="0" fillId="0" borderId="0" xfId="0" applyNumberFormat="1"/>
    <xf numFmtId="0" fontId="9" fillId="0" borderId="0" xfId="0" applyFont="1"/>
  </cellXfs>
  <cellStyles count="1">
    <cellStyle name="Normal" xfId="0" builtinId="0"/>
  </cellStyles>
  <dxfs count="34">
    <dxf>
      <numFmt numFmtId="0" formatCode="General"/>
    </dxf>
    <dxf>
      <numFmt numFmtId="0" formatCode="General"/>
    </dxf>
    <dxf>
      <numFmt numFmtId="164" formatCode="yyyy\-mm\-dd;@"/>
    </dxf>
    <dxf>
      <font>
        <strike val="0"/>
        <outline val="0"/>
        <shadow val="0"/>
        <u val="none"/>
        <vertAlign val="baseline"/>
        <sz val="12"/>
      </font>
    </dxf>
    <dxf>
      <font>
        <strike val="0"/>
        <outline val="0"/>
        <shadow val="0"/>
        <u val="none"/>
        <vertAlign val="baseline"/>
        <sz val="12"/>
      </font>
      <numFmt numFmtId="0" formatCode="General"/>
    </dxf>
    <dxf>
      <font>
        <strike val="0"/>
        <outline val="0"/>
        <shadow val="0"/>
        <u val="none"/>
        <vertAlign val="baseline"/>
        <sz val="12"/>
      </font>
      <numFmt numFmtId="2" formatCode="0.00"/>
    </dxf>
    <dxf>
      <font>
        <strike val="0"/>
        <outline val="0"/>
        <shadow val="0"/>
        <u val="none"/>
        <vertAlign val="baseline"/>
        <sz val="12"/>
      </font>
    </dxf>
    <dxf>
      <font>
        <strike val="0"/>
        <outline val="0"/>
        <shadow val="0"/>
        <u val="none"/>
        <vertAlign val="baseline"/>
        <sz val="12"/>
      </font>
      <numFmt numFmtId="165" formatCode="_([$$-409]* #,##0.00_);_([$$-409]* \(#,##0.00\);_([$$-409]* &quot;-&quot;??_);_(@_)"/>
    </dxf>
    <dxf>
      <font>
        <strike val="0"/>
        <outline val="0"/>
        <shadow val="0"/>
        <u val="none"/>
        <vertAlign val="baseline"/>
        <sz val="12"/>
      </font>
      <numFmt numFmtId="0" formatCode="General"/>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numFmt numFmtId="165" formatCode="_([$$-409]* #,##0.00_);_([$$-409]* \(#,##0.00\);_([$$-409]* &quot;-&quot;??_);_(@_)"/>
    </dxf>
    <dxf>
      <font>
        <strike val="0"/>
        <outline val="0"/>
        <shadow val="0"/>
        <u val="none"/>
        <vertAlign val="baseline"/>
        <sz val="12"/>
      </font>
      <numFmt numFmtId="2" formatCode="0.00"/>
    </dxf>
    <dxf>
      <font>
        <strike val="0"/>
        <outline val="0"/>
        <shadow val="0"/>
        <u val="none"/>
        <vertAlign val="baseline"/>
        <sz val="12"/>
      </font>
      <numFmt numFmtId="2" formatCode="0.00"/>
    </dxf>
    <dxf>
      <font>
        <strike val="0"/>
        <outline val="0"/>
        <shadow val="0"/>
        <u val="none"/>
        <vertAlign val="baseline"/>
        <sz val="12"/>
      </font>
      <numFmt numFmtId="2" formatCode="0.00"/>
    </dxf>
    <dxf>
      <font>
        <strike val="0"/>
        <outline val="0"/>
        <shadow val="0"/>
        <u val="none"/>
        <vertAlign val="baseline"/>
        <sz val="12"/>
      </font>
      <numFmt numFmtId="164" formatCode="yyyy\-mm\-dd;@"/>
    </dxf>
    <dxf>
      <font>
        <strike val="0"/>
        <outline val="0"/>
        <shadow val="0"/>
        <u val="none"/>
        <vertAlign val="baseline"/>
        <sz val="12"/>
      </font>
      <numFmt numFmtId="164" formatCode="yyyy\-mm\-dd;@"/>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numFmt numFmtId="0" formatCode="General"/>
    </dxf>
    <dxf>
      <numFmt numFmtId="0" formatCode="General"/>
    </dxf>
    <dxf>
      <numFmt numFmtId="167" formatCode="0.0%"/>
    </dxf>
    <dxf>
      <numFmt numFmtId="167" formatCode="0.0%"/>
    </dxf>
    <dxf>
      <numFmt numFmtId="0" formatCode="General"/>
    </dxf>
    <dxf>
      <numFmt numFmtId="0" formatCode="General"/>
    </dxf>
    <dxf>
      <numFmt numFmtId="1" formatCode="0"/>
    </dxf>
    <dxf>
      <numFmt numFmtId="1" formatCode="0"/>
    </dxf>
    <dxf>
      <numFmt numFmtId="2" formatCode="0.00"/>
    </dxf>
    <dxf>
      <numFmt numFmtId="2" formatCode="0.00"/>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https://www.bing.com/financeapi/forcetrigger?t=a1shgh&amp;q=XNAS%3aEXAS&amp;form=skydnc</v>
    <v>Learn more on Bing</v>
  </rv>
  <rv s="1">
    <v>en-US</v>
    <v>a1shgh</v>
    <v>268435456</v>
    <v>1</v>
    <v>Powered by Refinitiv</v>
    <v>0</v>
    <v>EXACT SCIENCES CORPORATION (XNAS:EXAS)</v>
    <v>2</v>
    <v>3</v>
    <v>Finance</v>
    <v>4</v>
    <v>72.83</v>
    <v>39.97</v>
    <v>0.96440000000000003</v>
    <v>0.75</v>
    <v>1.4657E-2</v>
    <v>USD</v>
    <v>Exact Sciences Corporation is a provider of cancer screening and diagnostic tests. The Company provides a portfolio of products for earlier cancer detection and treatment guidance. Its products and services focus on screening and precision oncology tests. It is focusing its research and development efforts on three main areas: Colorectal Cancer Screening Test Development, MCED Test Development and MRD Test Development. Its products and services include Cologuard test, Oncotype DX Breast Recurrence Score Test, Oncotype DX Breast DCIS Score Test, Oncotype DX Colon Recurrence Score Test, OncoExTra Test, and Riskguard Test. Its flagship screening product, the Cologuard test, is a non-invasive, stool-based deoxyribonucleic acid (sDNA) screening test that utilizes a multi-target approach to detect DNA and hemoglobin biomarkers associated with colorectal cancer and pre-cancer. The Oncotype DX Breast Recurrence Score test examines the activity of 21 genes in a patient’s breast tumor tissue.</v>
    <v>6900</v>
    <v>Nasdaq Stock Market</v>
    <v>XNAS</v>
    <v>XNAS</v>
    <v>5505 Endeavor Lane, MADISON, WI, 53719 US</v>
    <v>52.16</v>
    <v>Biotechnology &amp; Medical Research</v>
    <v>Stock</v>
    <v>45833.999552025001</v>
    <v>0</v>
    <v>50.09</v>
    <v>9794069384</v>
    <v>EXACT SCIENCES CORPORATION</v>
    <v>EXACT SCIENCES CORPORATION</v>
    <v>50.93</v>
    <v>0</v>
    <v>51.17</v>
    <v>51.92</v>
    <v>188637700</v>
    <v>EXAS</v>
    <v>EXACT SCIENCES CORPORATION (XNAS:EXAS)</v>
    <v>54</v>
    <v>2943361</v>
    <v>1995</v>
  </rv>
  <rv s="2">
    <v>1</v>
  </rv>
  <rv s="0">
    <v>https://www.bing.com/financeapi/forcetrigger?t=a1yv52&amp;q=XNAS%3aNVDA&amp;form=skydnc</v>
    <v>Learn more on Bing</v>
  </rv>
  <rv s="1">
    <v>en-US</v>
    <v>a1yv52</v>
    <v>268435456</v>
    <v>1</v>
    <v>Powered by Refinitiv</v>
    <v>0</v>
    <v>NVIDIA CORPORATION (XNAS:NVDA)</v>
    <v>2</v>
    <v>3</v>
    <v>Finance</v>
    <v>5</v>
    <v>154.44999999999999</v>
    <v>86.62</v>
    <v>2.1206999999999998</v>
    <v>6.41</v>
    <v>4.3339999999999997E-2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154.44999999999999</v>
    <v>Semiconductors &amp; Semiconductor Equipment</v>
    <v>Stock</v>
    <v>45833.999984282033</v>
    <v>3</v>
    <v>149.26</v>
    <v>3765164000000</v>
    <v>NVIDIA CORPORATION</v>
    <v>NVIDIA CORPORATION</v>
    <v>149.27000000000001</v>
    <v>49.705399999999997</v>
    <v>147.9</v>
    <v>154.31</v>
    <v>24400000000</v>
    <v>NVDA</v>
    <v>NVIDIA CORPORATION (XNAS:NVDA)</v>
    <v>1981347</v>
    <v>204376250</v>
    <v>1998</v>
  </rv>
  <rv s="2">
    <v>4</v>
  </rv>
  <rv s="0">
    <v>https://www.bing.com/financeapi/forcetrigger?t=c38lp2&amp;q=XNYS%3aONON&amp;form=skydnc</v>
    <v>Learn more on Bing</v>
  </rv>
  <rv s="1">
    <v>en-US</v>
    <v>c38lp2</v>
    <v>268435456</v>
    <v>1</v>
    <v>Powered by Refinitiv</v>
    <v>0</v>
    <v>On Holding Ltd (XNYS:ONON)</v>
    <v>2</v>
    <v>3</v>
    <v>Finance</v>
    <v>5</v>
    <v>64.05</v>
    <v>34.590000000000003</v>
    <v>2.3105000000000002</v>
    <v>-0.98</v>
    <v>-1.8681E-2</v>
    <v>USD</v>
    <v>On Holding AG is a Switzerland-based company active in athletic sports accesories industry. The Company provides footwear and sports apparel and is engaged in developing and distributing performance sports products, through independent retailers and global distributors. The Company sells its products trough the internet and its own stores.</v>
    <v>3254</v>
    <v>New York Stock Exchange</v>
    <v>XNYS</v>
    <v>XNYS</v>
    <v>Forrlibuckstrasse 190, ZUERICH, ZUERICH, 8005 CH</v>
    <v>52.99</v>
    <v>Textiles &amp; Apparel</v>
    <v>Stock</v>
    <v>45833.999649814061</v>
    <v>6</v>
    <v>51</v>
    <v>16788894407</v>
    <v>On Holding Ltd</v>
    <v>On Holding Ltd</v>
    <v>52.89</v>
    <v>72.318200000000004</v>
    <v>52.46</v>
    <v>51.48</v>
    <v>326124600</v>
    <v>ONON</v>
    <v>On Holding Ltd (XNYS:ONON)</v>
    <v>444</v>
    <v>4140483</v>
    <v>2012</v>
  </rv>
  <rv s="2">
    <v>7</v>
  </rv>
  <rv s="0">
    <v>https://www.bing.com/financeapi/forcetrigger?t=a24k27&amp;q=XNAS%3aTSEM&amp;form=skydnc</v>
    <v>Learn more on Bing</v>
  </rv>
  <rv s="1">
    <v>en-US</v>
    <v>a24k27</v>
    <v>268435456</v>
    <v>1</v>
    <v>Powered by Refinitiv</v>
    <v>0</v>
    <v>TOWER SEMICONDUCTOR LTD (XNAS:TSEM)</v>
    <v>2</v>
    <v>3</v>
    <v>Finance</v>
    <v>4</v>
    <v>55.31</v>
    <v>28.64</v>
    <v>0.78410000000000002</v>
    <v>0.19</v>
    <v>4.4549999999999998E-3</v>
    <v>USD</v>
    <v>Tower Semiconductor Ltd. operates as an independent semiconductor foundry focused primarily on specialty process technologies. The Company focuses on producing integrated circuits (ICs) based on the design specifications of its customers. The Company manufactures semiconductors for its customers primarily based on third-party designs. It offers process manufacture geometries of 0.35, 0.50, 0.55, 0.60, 0.80-micron and above on 150 millimeter wafers, 0.35, 0.18. 0.16, 0.13 and 0.11-micron on 200 millimeter wafers, and 65 nanometer and 45 nanometer on 300 millimeter wafers. It also provides design support and technical services. The Company's ICs are incorporated into a range of products in markets, including consumer electronics, personal computers, communications, automotive, industrial and medical device products. The Company has manufacturing facilities in the United States, Israel and Japan.</v>
    <v>5215</v>
    <v>Nasdaq Stock Market</v>
    <v>XNAS</v>
    <v>XNAS</v>
    <v>20 Shaul Amor Avenue, Ramat Gavriel Industrial Park, Po Box 619, MIGDAL HAEMEQ, 2310502 IL</v>
    <v>43.63</v>
    <v>Semiconductors &amp; Semiconductor Equipment</v>
    <v>Stock</v>
    <v>45833.985559455468</v>
    <v>9</v>
    <v>42.75</v>
    <v>4791465504</v>
    <v>TOWER SEMICONDUCTOR LTD</v>
    <v>TOWER SEMICONDUCTOR LTD</v>
    <v>43.42</v>
    <v>23.7211</v>
    <v>42.65</v>
    <v>42.84</v>
    <v>111845600</v>
    <v>TSEM</v>
    <v>TOWER SEMICONDUCTOR LTD (XNAS:TSEM)</v>
    <v>534</v>
    <v>508450</v>
    <v>1993</v>
  </rv>
  <rv s="2">
    <v>10</v>
  </rv>
  <rv s="0">
    <v>https://www.bing.com/financeapi/forcetrigger?t=bwve27&amp;q=XNYS%3aRBLX&amp;form=skydnc</v>
    <v>Learn more on Bing</v>
  </rv>
  <rv s="3">
    <v>en-US</v>
    <v>bwve27</v>
    <v>268435456</v>
    <v>1</v>
    <v>Powered by Refinitiv</v>
    <v>6</v>
    <v>ROBLOX CORPORATION (XNYS:RBLX)</v>
    <v>2</v>
    <v>7</v>
    <v>Finance</v>
    <v>5</v>
    <v>105.3</v>
    <v>35.270000000000003</v>
    <v>1.5923</v>
    <v>-1.94</v>
    <v>-1.8515E-2</v>
    <v>USD</v>
    <v>Roblox Corporation operates a platform for connection and communication (Roblox Platform), where every day, people come to create, play, work, learn, and connect with each other in experiences built by its global community of creators. The Company’s platform consists of the Roblox Client, the Roblox Studio, and the Roblox Cloud. Roblox Client is an application that allows users to seamlessly explore 3D immersive experiences. Roblox Studio is the free toolset that allows developers and creators to build, publish, and operate three-dimensional (3D) immersive experiences and other content accessed with the Roblox Client. Roblox Cloud includes the services and infrastructure that power its Platform. The Company operates the Roblox Platform as a live service that allows users to play and socialize with others for free. The Company offers developers and creators the ability to build engaging, immersive experiences and marketplace items that they can easily share with the Roblox community.</v>
    <v>2474</v>
    <v>New York Stock Exchange</v>
    <v>XNYS</v>
    <v>XNYS</v>
    <v>3150 South Delaware Street, SAN MATEO, CA, 94403 US</v>
    <v>105.3</v>
    <v>Software &amp; IT Services</v>
    <v>Stock</v>
    <v>45833.999704409376</v>
    <v>12</v>
    <v>102.735</v>
    <v>69754757412</v>
    <v>ROBLOX CORPORATION</v>
    <v>ROBLOX CORPORATION</v>
    <v>104.99</v>
    <v>104.78</v>
    <v>102.84</v>
    <v>678284300</v>
    <v>RBLX</v>
    <v>ROBLOX CORPORATION (XNYS:RBLX)</v>
    <v>6861</v>
    <v>8395291</v>
    <v>2004</v>
  </rv>
  <rv s="2">
    <v>13</v>
  </rv>
  <rv s="0">
    <v>https://www.bing.com/financeapi/forcetrigger?t=bvsk7w&amp;q=XNYS%3aPLTR&amp;form=skydnc</v>
    <v>Learn more on Bing</v>
  </rv>
  <rv s="1">
    <v>en-US</v>
    <v>bvsk7w</v>
    <v>268435456</v>
    <v>1</v>
    <v>Powered by Refinitiv</v>
    <v>0</v>
    <v>PALANTIR TECHNOLOGIES INC. (XNAS:PLTR)</v>
    <v>2</v>
    <v>3</v>
    <v>Finance</v>
    <v>5</v>
    <v>147.66999999999999</v>
    <v>21.23</v>
    <v>2.6315</v>
    <v>-0.33</v>
    <v>-2.3040000000000001E-3</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4001</v>
    <v>Nasdaq Stock Market</v>
    <v>XNAS</v>
    <v>XNAS</v>
    <v>1200 17Th Street, Floor 15, DENVER, CO, 80202 US</v>
    <v>147.66999999999999</v>
    <v>Software &amp; IT Services</v>
    <v>Stock</v>
    <v>45833.999977985935</v>
    <v>15</v>
    <v>141.53</v>
    <v>337231424800</v>
    <v>PALANTIR TECHNOLOGIES INC.</v>
    <v>PALANTIR TECHNOLOGIES INC.</v>
    <v>144.49</v>
    <v>624.04470000000003</v>
    <v>143.22999999999999</v>
    <v>142.9</v>
    <v>2359912000</v>
    <v>PLTR</v>
    <v>PALANTIR TECHNOLOGIES INC. (XNAS:PLTR)</v>
    <v>178281</v>
    <v>82972534</v>
    <v>2003</v>
  </rv>
  <rv s="2">
    <v>16</v>
  </rv>
  <rv s="0">
    <v>https://www.bing.com/financeapi/forcetrigger?t=a24kar&amp;q=XNAS%3aTSLA&amp;form=skydnc</v>
    <v>Learn more on Bing</v>
  </rv>
  <rv s="1">
    <v>en-US</v>
    <v>a24kar</v>
    <v>268435456</v>
    <v>1</v>
    <v>Powered by Refinitiv</v>
    <v>0</v>
    <v>TESLA, INC. (XNAS:TSLA)</v>
    <v>2</v>
    <v>3</v>
    <v>Finance</v>
    <v>5</v>
    <v>488.53989999999999</v>
    <v>182</v>
    <v>2.4451000000000001</v>
    <v>-12.92</v>
    <v>-3.7948000000000003E-2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343</v>
    <v>Automobiles &amp; Auto Parts</v>
    <v>Stock</v>
    <v>45833.999998899999</v>
    <v>18</v>
    <v>320.39999999999998</v>
    <v>1055024137800</v>
    <v>TESLA, INC.</v>
    <v>TESLA, INC.</v>
    <v>342.7</v>
    <v>180.2826</v>
    <v>340.47</v>
    <v>327.55</v>
    <v>3220956000</v>
    <v>TSLA</v>
    <v>TESLA, INC. (XNAS:TSLA)</v>
    <v>821727</v>
    <v>119852498</v>
    <v>2024</v>
  </rv>
  <rv s="2">
    <v>19</v>
  </rv>
  <rv s="0">
    <v>https://www.bing.com/financeapi/forcetrigger?t=a1vmf2&amp;q=XNAS%3aINTC&amp;form=skydnc</v>
    <v>Learn more on Bing</v>
  </rv>
  <rv s="1">
    <v>en-US</v>
    <v>a1vmf2</v>
    <v>268435456</v>
    <v>1</v>
    <v>Powered by Refinitiv</v>
    <v>0</v>
    <v>INTEL CORPORATION (XNAS:INTC)</v>
    <v>2</v>
    <v>3</v>
    <v>Finance</v>
    <v>5</v>
    <v>37.159999999999997</v>
    <v>17.664999999999999</v>
    <v>1.133</v>
    <v>-0.35</v>
    <v>-1.5521E-2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22.77</v>
    <v>Semiconductors &amp; Semiconductor Equipment</v>
    <v>Stock</v>
    <v>45833.999934467189</v>
    <v>21</v>
    <v>22.125</v>
    <v>96836400000</v>
    <v>INTEL CORPORATION</v>
    <v>INTEL CORPORATION</v>
    <v>22.574999999999999</v>
    <v>0</v>
    <v>22.55</v>
    <v>22.2</v>
    <v>4362000000</v>
    <v>INTC</v>
    <v>INTEL CORPORATION (XNAS:INTC)</v>
    <v>194085</v>
    <v>85967310</v>
    <v>1989</v>
  </rv>
  <rv s="2">
    <v>22</v>
  </rv>
  <rv s="0">
    <v>https://www.bing.com/financeapi/forcetrigger?t=a1ndww&amp;q=XNAS%3aAMD&amp;form=skydnc</v>
    <v>Learn more on Bing</v>
  </rv>
  <rv s="1">
    <v>en-US</v>
    <v>a1ndww</v>
    <v>268435456</v>
    <v>1</v>
    <v>Powered by Refinitiv</v>
    <v>0</v>
    <v>ADVANCED MICRO DEVICES, INC. (XNAS:AMD)</v>
    <v>2</v>
    <v>3</v>
    <v>Finance</v>
    <v>5</v>
    <v>187.28</v>
    <v>76.48</v>
    <v>2.0196000000000001</v>
    <v>4.97</v>
    <v>3.5902999999999997E-2</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144.18</v>
    <v>Semiconductors &amp; Semiconductor Equipment</v>
    <v>Stock</v>
    <v>45833.999973923441</v>
    <v>24</v>
    <v>139.46</v>
    <v>232509333600</v>
    <v>ADVANCED MICRO DEVICES, INC.</v>
    <v>ADVANCED MICRO DEVICES, INC.</v>
    <v>140.94</v>
    <v>105.1189</v>
    <v>138.43</v>
    <v>143.4</v>
    <v>1621404000</v>
    <v>AMD</v>
    <v>ADVANCED MICRO DEVICES, INC. (XNAS:AMD)</v>
    <v>546880</v>
    <v>45627563</v>
    <v>1969</v>
  </rv>
  <rv s="2">
    <v>25</v>
  </rv>
  <rv s="0">
    <v>https://www.bing.com/financeapi/forcetrigger?t=a24kjc&amp;q=XNYS%3aTSM&amp;form=skydnc</v>
    <v>Learn more on Bing</v>
  </rv>
  <rv s="1">
    <v>en-US</v>
    <v>a24kjc</v>
    <v>268435456</v>
    <v>1</v>
    <v>Powered by Refinitiv</v>
    <v>0</v>
    <v>Taiwan Semiconductor Manufacturing Co., Ltd. (XNYS:TSM)</v>
    <v>2</v>
    <v>3</v>
    <v>Finance</v>
    <v>5</v>
    <v>226.4</v>
    <v>133.57</v>
    <v>1.2829999999999999</v>
    <v>2.65</v>
    <v>1.2041E-2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223.5</v>
    <v>Semiconductors &amp; Semiconductor Equipment</v>
    <v>Stock</v>
    <v>45833.999981087502</v>
    <v>27</v>
    <v>220.8</v>
    <v>919596300000</v>
    <v>Taiwan Semiconductor Manufacturing Co., Ltd.</v>
    <v>Taiwan Semiconductor Manufacturing Co., Ltd.</v>
    <v>220.8</v>
    <v>29.334599999999998</v>
    <v>220.09</v>
    <v>222.74</v>
    <v>5186523000</v>
    <v>TSM</v>
    <v>Taiwan Semiconductor Manufacturing Co., Ltd. (XNYS:TSM)</v>
    <v>39118</v>
    <v>11144005</v>
    <v>1987</v>
  </rv>
  <rv s="2">
    <v>28</v>
  </rv>
  <rv s="0">
    <v>https://www.bing.com/financeapi/forcetrigger?t=a234r7&amp;q=XNAS%3aSMCI&amp;form=skydnc</v>
    <v>Learn more on Bing</v>
  </rv>
  <rv s="1">
    <v>en-US</v>
    <v>a234r7</v>
    <v>268435456</v>
    <v>1</v>
    <v>Powered by Refinitiv</v>
    <v>0</v>
    <v>SUPER MICRO COMPUTER, INC. (XNAS:SMCI)</v>
    <v>2</v>
    <v>3</v>
    <v>Finance</v>
    <v>5</v>
    <v>96.33</v>
    <v>17.25</v>
    <v>1.3928</v>
    <v>3.77</v>
    <v>8.8001999999999997E-2</v>
    <v>USD</v>
    <v>Super Micro Computer, Inc. provides application-optimized Total IT solutions. It delivers rack-scale solutions optimized for various workloads, including artificial intelligence and high-performance computing, where acceleration is critical. It produces a portfolio of server and storage solutions for enterprise data centers, cloud service providers and edge computing (5G Telco, Retail and embedded). Total IT Solutions include complete servers, storage systems, modular blade servers, workstations, full-rack scale solutions, networking devices, server sub-systems, server management and security software. It provides global support and services to help its customers install, upgrade and maintain their computing infrastructure, including liquid-cooling operations. It offers platforms in rackmount, blade, multi-node and embedded form factors, which support single, dual and multiprocessor architectures. Its key product lines include SuperBlade and MicroBlade, SuperStorage, Twin and others.</v>
    <v>5684</v>
    <v>Nasdaq Stock Market</v>
    <v>XNAS</v>
    <v>XNAS</v>
    <v>980 Rock Avenue, SAN JOSE, CA, 95131 US</v>
    <v>46.93</v>
    <v>Computers, Phones &amp; Household Electronics</v>
    <v>Stock</v>
    <v>45833.999930404687</v>
    <v>30</v>
    <v>43.12</v>
    <v>27817668336</v>
    <v>SUPER MICRO COMPUTER, INC.</v>
    <v>SUPER MICRO COMPUTER, INC.</v>
    <v>43.34</v>
    <v>25.8094</v>
    <v>42.84</v>
    <v>46.61</v>
    <v>596817600</v>
    <v>SMCI</v>
    <v>SUPER MICRO COMPUTER, INC. (XNAS:SMCI)</v>
    <v>284137</v>
    <v>37838884</v>
    <v>2006</v>
  </rv>
  <rv s="2">
    <v>31</v>
  </rv>
  <rv s="4">
    <v>en-US</v>
    <v>avyoh7</v>
    <v>268435456</v>
    <v>1</v>
    <v>Powered by Refinitiv</v>
    <v>8</v>
    <v>USD/ILS</v>
    <v>9</v>
    <v>10</v>
    <v>Finance</v>
    <v>11</v>
    <v>3.8532999999999999</v>
    <v>3.3711000000000002</v>
    <v>2.3E-3</v>
    <v>6.7759999999999999E-4</v>
    <v>ILS</v>
    <v>USD</v>
    <v>3.4075000000000002</v>
    <v>Currency Pair</v>
    <v>45834.444027777776</v>
    <v>3.3711000000000002</v>
    <v>US Dollar/Israeli Shekel FX Spot Rate</v>
    <v>3.3963000000000001</v>
    <v>3.3942999999999999</v>
    <v>3.3965999999999998</v>
    <v>USDILS</v>
    <v>USD/ILS</v>
  </rv>
  <rv s="2">
    <v>33</v>
  </rv>
  <rv s="0">
    <v>https://www.bing.com/financeapi/forcetrigger?t=c62ogh&amp;q=XNAS%3aSOUN&amp;form=skydnc</v>
    <v>Learn more on Bing</v>
  </rv>
  <rv s="1">
    <v>en-US</v>
    <v>c62ogh</v>
    <v>268435456</v>
    <v>1</v>
    <v>Powered by Refinitiv</v>
    <v>0</v>
    <v>SOUNDHOUND AI, INC. (XNAS:SOUN)</v>
    <v>2</v>
    <v>3</v>
    <v>Finance</v>
    <v>5</v>
    <v>24.98</v>
    <v>3.82</v>
    <v>1.78</v>
    <v>-0.25</v>
    <v>-2.5457999999999998E-2</v>
    <v>USD</v>
    <v>SoundHound AI, Inc. is engaged in conversational intelligence, offering voice and conversational artificial intelligence (AI) solutions that let businesses offer experiences to their customers. Through its proprietary technology, its voice AI delivers speed and accuracy in numerous languages to product creators and service providers across retail, financial services, healthcare, automotive, smart devices, and restaurants via AI-driven products, such as Smart Answering, Smart Ordering, Dynamic Drive Thru, and Amelia AI Agents. Along with SoundHound Chat AI, a voice assistant with integrated Generative AI, it powers various products and services, and processes billions of interactions each year for businesses. Its developer platform, Houndify, is an open-access platform that allows developers to leverage its Voice AI technology and a library of over 100 content domains, including commonly used domains for points of interest, weather, flight status, sports and more.</v>
    <v>842</v>
    <v>Nasdaq Stock Market</v>
    <v>XNAS</v>
    <v>XNAS</v>
    <v>5400 Betsy Ross Drive, SANTA CLARA, CA, 95054 US</v>
    <v>10.4</v>
    <v>Software &amp; IT Services</v>
    <v>Stock</v>
    <v>45833.999971284378</v>
    <v>35</v>
    <v>9.52</v>
    <v>3844597251</v>
    <v>SOUNDHOUND AI, INC.</v>
    <v>SOUNDHOUND AI, INC.</v>
    <v>10.119999999999999</v>
    <v>0</v>
    <v>9.82</v>
    <v>9.57</v>
    <v>401734300</v>
    <v>SOUN</v>
    <v>SOUNDHOUND AI, INC. (XNAS:SOUN)</v>
    <v>121445</v>
    <v>31665449</v>
    <v>2020</v>
  </rv>
  <rv s="2">
    <v>36</v>
  </rv>
  <rv s="0">
    <v>https://www.bing.com/financeapi/forcetrigger?t=a1ygoc&amp;q=XNAS%3aNFLX&amp;form=skydnc</v>
    <v>Learn more on Bing</v>
  </rv>
  <rv s="1">
    <v>en-US</v>
    <v>a1ygoc</v>
    <v>268435456</v>
    <v>1</v>
    <v>Powered by Refinitiv</v>
    <v>0</v>
    <v>NETFLIX, INC. (XNAS:NFLX)</v>
    <v>2</v>
    <v>3</v>
    <v>Finance</v>
    <v>5</v>
    <v>1297.9999</v>
    <v>587.04</v>
    <v>1.5892999999999999</v>
    <v>-3.86</v>
    <v>-3.0180000000000003E-3</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1297.9999</v>
    <v>Software &amp; IT Services</v>
    <v>Stock</v>
    <v>45833.999853344532</v>
    <v>38</v>
    <v>1273.81</v>
    <v>542709800325</v>
    <v>NETFLIX, INC.</v>
    <v>NETFLIX, INC.</v>
    <v>1286.8399999999999</v>
    <v>60.256700000000002</v>
    <v>1279.1099999999999</v>
    <v>1275.25</v>
    <v>425571300</v>
    <v>NFLX</v>
    <v>NETFLIX, INC. (XNAS:NFLX)</v>
    <v>2317</v>
    <v>2707317</v>
    <v>1997</v>
  </rv>
  <rv s="2">
    <v>39</v>
  </rv>
  <rv s="5">
    <v>en-US</v>
    <v>cau7bh</v>
    <v>268435456</v>
    <v>1</v>
    <v>Powered by Refinitiv</v>
    <v>12</v>
    <v>ARM HOLDINGS PLC (XNAS:ARM)</v>
    <v>13</v>
    <v>3</v>
    <v>Finance</v>
    <v>5</v>
    <v>188.75</v>
    <v>80</v>
    <v>2.113</v>
    <v>0.9</v>
    <v>5.7540000000000004E-3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8330</v>
    <v>Nasdaq Stock Market</v>
    <v>XNAS</v>
    <v>XNAS</v>
    <v>110 Fulbourn Road, CAMBRIDGE, CAMBRIDGESHIRE, CB1 9NJ GB</v>
    <v>159.88</v>
    <v>Semiconductors &amp; Semiconductor Equipment</v>
    <v>Stock</v>
    <v>45833.99923092578</v>
    <v>156.68</v>
    <v>166632819840</v>
    <v>ARM HOLDINGS PLC</v>
    <v>ARM HOLDINGS PLC</v>
    <v>157.11000000000001</v>
    <v>211.13740000000001</v>
    <v>156.41</v>
    <v>157.31</v>
    <v>1059264000</v>
    <v>ARM</v>
    <v>ARM HOLDINGS PLC (XNAS:ARM)</v>
    <v>21903</v>
    <v>4299040</v>
    <v>2018</v>
  </rv>
  <rv s="2">
    <v>41</v>
  </rv>
  <rv s="0">
    <v>https://www.bing.com/financeapi/forcetrigger?t=a1u3rw&amp;q=XNAS%3aGOOGL&amp;form=skydnc</v>
    <v>Learn more on Bing</v>
  </rv>
  <rv s="1">
    <v>en-US</v>
    <v>a1u3rw</v>
    <v>268435456</v>
    <v>1</v>
    <v>Powered by Refinitiv</v>
    <v>0</v>
    <v>ALPHABET INC. (XNAS:GOOGL)</v>
    <v>2</v>
    <v>3</v>
    <v>Finance</v>
    <v>5</v>
    <v>207.05</v>
    <v>140.53</v>
    <v>1.0044999999999999</v>
    <v>3.91</v>
    <v>2.3445000000000001E-2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172.36</v>
    <v>Software &amp; IT Services</v>
    <v>Stock</v>
    <v>45833.999933032028</v>
    <v>43</v>
    <v>167.55</v>
    <v>2029049000000</v>
    <v>ALPHABET INC.</v>
    <v>ALPHABET INC.</v>
    <v>167.63</v>
    <v>19.026</v>
    <v>166.77</v>
    <v>170.68</v>
    <v>12135000000</v>
    <v>GOOGL</v>
    <v>ALPHABET INC. (XNAS:GOOGL)</v>
    <v>191380</v>
    <v>40958884</v>
    <v>2015</v>
  </rv>
  <rv s="2">
    <v>44</v>
  </rv>
  <rv s="0">
    <v>https://www.bing.com/financeapi/forcetrigger?t=azgv7w&amp;q=XNYS%3aSPOT&amp;form=skydnc</v>
    <v>Learn more on Bing</v>
  </rv>
  <rv s="1">
    <v>en-US</v>
    <v>azgv7w</v>
    <v>268435456</v>
    <v>1</v>
    <v>Powered by Refinitiv</v>
    <v>0</v>
    <v>Spotify Technology SA (XNYS:SPOT)</v>
    <v>2</v>
    <v>3</v>
    <v>Finance</v>
    <v>4</v>
    <v>759.17</v>
    <v>288.07</v>
    <v>1.6728000000000001</v>
    <v>-13.61</v>
    <v>-1.8148999999999998E-2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7691</v>
    <v>New York Stock Exchange</v>
    <v>XNYS</v>
    <v>XNYS</v>
    <v>42-44, avenue de la Gare, LUXEMBOURG, 1610 LU</v>
    <v>759.17</v>
    <v>Software &amp; IT Services</v>
    <v>Stock</v>
    <v>45833.999248135937</v>
    <v>46</v>
    <v>735.60649999999998</v>
    <v>150725837730</v>
    <v>Spotify Technology SA</v>
    <v>Spotify Technology SA</v>
    <v>752.7</v>
    <v>121.6644</v>
    <v>749.91</v>
    <v>736.3</v>
    <v>204707100</v>
    <v>SPOT</v>
    <v>Spotify Technology SA (XNYS:SPOT)</v>
    <v>612</v>
    <v>1684090</v>
    <v>2007</v>
  </rv>
  <rv s="2">
    <v>47</v>
  </rv>
  <rv s="0">
    <v>https://www.bing.com/financeapi/forcetrigger?t=a1y4oc&amp;q=XNAS%3aMU&amp;form=skydnc</v>
    <v>Learn more on Bing</v>
  </rv>
  <rv s="1">
    <v>en-US</v>
    <v>a1y4oc</v>
    <v>268435456</v>
    <v>1</v>
    <v>Powered by Refinitiv</v>
    <v>0</v>
    <v>MICRON TECHNOLOGY, INC. (XNAS:MU)</v>
    <v>2</v>
    <v>3</v>
    <v>Finance</v>
    <v>5</v>
    <v>144.07</v>
    <v>61.54</v>
    <v>1.3252999999999999</v>
    <v>-0.66</v>
    <v>-5.1600000000000005E-3</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8000 S Federal Way, Po Box 6, BOISE, ID, 83716-9632 US</v>
    <v>127.5</v>
    <v>Semiconductors &amp; Semiconductor Equipment</v>
    <v>Stock</v>
    <v>45833.999999224216</v>
    <v>49</v>
    <v>125.62</v>
    <v>142211037000</v>
    <v>MICRON TECHNOLOGY, INC.</v>
    <v>MICRON TECHNOLOGY, INC.</v>
    <v>126.61</v>
    <v>23.0671</v>
    <v>127.91</v>
    <v>127.25</v>
    <v>1117572000</v>
    <v>MU</v>
    <v>MICRON TECHNOLOGY, INC. (XNAS:MU)</v>
    <v>385832</v>
    <v>19332364</v>
    <v>1984</v>
  </rv>
  <rv s="2">
    <v>50</v>
  </rv>
  <rv s="0">
    <v>https://www.bing.com/financeapi/forcetrigger?t=a1ntlh&amp;q=XNAS%3aASML&amp;form=skydnc</v>
    <v>Learn more on Bing</v>
  </rv>
  <rv s="1">
    <v>en-US</v>
    <v>a1ntlh</v>
    <v>268435456</v>
    <v>1</v>
    <v>Powered by Refinitiv</v>
    <v>0</v>
    <v>ASML Holding NV (XNAS:ASML)</v>
    <v>2</v>
    <v>3</v>
    <v>Finance</v>
    <v>5</v>
    <v>1110.0899999999999</v>
    <v>578.51</v>
    <v>1.74</v>
    <v>1.88</v>
    <v>2.3110000000000001E-3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43129</v>
    <v>Nasdaq Stock Market</v>
    <v>XNAS</v>
    <v>XNAS</v>
    <v>De Run 6501, VELDHOVEN, NOORD-BRABANT, 5504 DR NL</v>
    <v>819.54</v>
    <v>Semiconductors &amp; Semiconductor Equipment</v>
    <v>Stock</v>
    <v>45833.999871631248</v>
    <v>52</v>
    <v>806.22</v>
    <v>315206800000</v>
    <v>ASML Holding NV</v>
    <v>ASML Holding NV</v>
    <v>816.745</v>
    <v>34.027000000000001</v>
    <v>813.36</v>
    <v>815.24</v>
    <v>393830700</v>
    <v>ASML</v>
    <v>ASML Holding NV (XNAS:ASML)</v>
    <v>17604</v>
    <v>1367373</v>
    <v>1994</v>
  </rv>
  <rv s="2">
    <v>53</v>
  </rv>
  <rv s="0">
    <v>http://en.wikipedia.org/wiki/Public_domain</v>
    <v>Public domain</v>
  </rv>
  <rv s="0">
    <v>http://pt.wikipedia.org/wiki/Oracle_Corporation</v>
    <v>Wikipedia</v>
  </rv>
  <rv s="6">
    <v>55</v>
    <v>56</v>
  </rv>
  <rv s="7">
    <v>18</v>
    <v>https://www.bing.com/th?id=AMMS_672116c618c664d13b2515d6587ba357&amp;qlt=95</v>
    <v>57</v>
    <v>0</v>
    <v>https://www.bing.com/images/search?form=xlimg&amp;q=oracle+corporation</v>
    <v>Image of ORACLE CORPORATION</v>
  </rv>
  <rv s="0">
    <v>https://www.bing.com/financeapi/forcetrigger?t=a1zbec&amp;q=XNYS%3aORCL&amp;form=skydnc</v>
    <v>Learn more on Bing</v>
  </rv>
  <rv s="8">
    <v>en-US</v>
    <v>a1zbec</v>
    <v>268435456</v>
    <v>1</v>
    <v>Powered by Refinitiv</v>
    <v>14</v>
    <v>ORACLE CORPORATION (XNYS:ORCL)</v>
    <v>16</v>
    <v>17</v>
    <v>Finance</v>
    <v>5</v>
    <v>216.9299</v>
    <v>118.86</v>
    <v>1.3593</v>
    <v>-4.55</v>
    <v>-2.1135999999999999E-2</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162000</v>
    <v>New York Stock Exchange</v>
    <v>XNYS</v>
    <v>XNYS</v>
    <v>2300 Oracle Way, AUSTIN, TX, 78741 US</v>
    <v>216.9299</v>
    <v>58</v>
    <v>Software &amp; IT Services</v>
    <v>Stock</v>
    <v>45833.999729941403</v>
    <v>59</v>
    <v>210.23</v>
    <v>591877289760</v>
    <v>ORACLE CORPORATION</v>
    <v>ORACLE CORPORATION</v>
    <v>214.93989999999999</v>
    <v>48.533900000000003</v>
    <v>215.27</v>
    <v>210.72</v>
    <v>2808833000</v>
    <v>ORCL</v>
    <v>ORACLE CORPORATION (XNYS:ORCL)</v>
    <v>8807</v>
    <v>14750126</v>
    <v>2005</v>
  </rv>
  <rv s="2">
    <v>60</v>
  </rv>
  <rv s="0">
    <v>https://www.bing.com/financeapi/forcetrigger?t=a1wyu2&amp;q=XNYS%3aLLY&amp;form=skydnc</v>
    <v>Learn more on Bing</v>
  </rv>
  <rv s="1">
    <v>en-US</v>
    <v>a1wyu2</v>
    <v>268435456</v>
    <v>1</v>
    <v>Powered by Refinitiv</v>
    <v>0</v>
    <v>ELI LILLY AND COMPANY (XNYS:LLY)</v>
    <v>2</v>
    <v>3</v>
    <v>Finance</v>
    <v>5</v>
    <v>972.53</v>
    <v>677.09119999999996</v>
    <v>0.3972</v>
    <v>14.22</v>
    <v>1.8276000000000001E-2</v>
    <v>USD</v>
    <v>Eli Lilly and Company is a medicine company, which discovers, develops, manufactures and markets products in the human pharmaceutical products segment. Its cardiometabolic health products include Basaglar; Humalog, Humalog Mix 75/25, Humalog U-100, Humalog U-200, Humalog Mix 50/50, insulin lispro, and others; Humulin, Humulin 70/30, and others; Jardiance; Mounjaro; Trulicity, and Zepbound. Its oncology products include Cyramza, Erbitux, Tyvyt, and Verzenio. Its immunology products include Ebglyss, Olumiant, Omvoh, and Taltz. Its neuroscience products include Emgality and Kisunla. The Company, through its subsidiary, POINT Biopharma Global Inc., is engaged in radiopharmaceutical discovery, development, and manufacturing efforts, as well as clinical and pre-clinical radioligand therapies in development for the treatment of cancer. It is also developing an oral small molecule inhibitor of a4b7 integrin for inflammatory bowel disease (IBD). It also owns a lead therapeutic molecule, FXR314.</v>
    <v>47000</v>
    <v>New York Stock Exchange</v>
    <v>XNYS</v>
    <v>XNYS</v>
    <v>Lilly Corporate Ctr, Drop Code 1094, INDIANAPOLIS, IN, 46285 US</v>
    <v>798.95</v>
    <v>Pharmaceuticals</v>
    <v>Stock</v>
    <v>45833.999944814066</v>
    <v>62</v>
    <v>773.59500000000003</v>
    <v>750890995110</v>
    <v>ELI LILLY AND COMPANY</v>
    <v>ELI LILLY AND COMPANY</v>
    <v>779</v>
    <v>64.411199999999994</v>
    <v>778.08</v>
    <v>792.3</v>
    <v>947735700</v>
    <v>LLY</v>
    <v>ELI LILLY AND COMPANY (XNYS:LLY)</v>
    <v>1427</v>
    <v>3424512</v>
    <v>1901</v>
  </rv>
  <rv s="2">
    <v>63</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9">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2</v>
      <v>1</v>
      <v>3</v>
      <v>1</v>
      <v>1</v>
      <v>1</v>
      <v>4</v>
      <v>4</v>
      <v>5</v>
      <v>6</v>
      <v>1</v>
      <v>1</v>
      <v>1</v>
      <v>4</v>
      <v>7</v>
      <v>8</v>
      <v>9</v>
      <v>4</v>
    </spb>
    <spb s="6">
      <v>2</v>
      <v>Name</v>
    </spb>
    <spb s="7">
      <v>1</v>
      <v>1</v>
    </spb>
    <spb s="8">
      <v>10</v>
      <v>10</v>
      <v>3</v>
      <v>10</v>
      <v>10</v>
      <v>10</v>
      <v>5</v>
      <v>10</v>
      <v>10</v>
      <v>10</v>
      <v>7</v>
      <v>9</v>
    </spb>
    <spb s="9">
      <v>GMT</v>
    </spb>
    <spb s="6">
      <v>3</v>
      <v>Name</v>
    </spb>
    <spb s="10">
      <v>1</v>
      <v>1</v>
      <v>1</v>
    </spb>
    <spb s="0">
      <v>4</v>
      <v>Name</v>
      <v>LearnMoreOnLink</v>
    </spb>
    <spb s="11">
      <v>0</v>
      <v>0</v>
    </spb>
    <spb s="12">
      <v>15</v>
      <v>1</v>
      <v>1</v>
      <v>1</v>
      <v>1</v>
    </spb>
    <spb s="13">
      <v>1</v>
      <v>2</v>
      <v>2</v>
      <v>1</v>
      <v>3</v>
      <v>1</v>
      <v>11</v>
      <v>1</v>
      <v>1</v>
      <v>4</v>
      <v>4</v>
      <v>5</v>
      <v>6</v>
      <v>1</v>
      <v>1</v>
      <v>1</v>
      <v>4</v>
      <v>7</v>
      <v>8</v>
      <v>9</v>
      <v>4</v>
    </spb>
    <spb s="14">
      <v>Powered by Refinitiv</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[$₪-he-IL] * #,##0.00_ ;_ [$₪-he-IL] * -#,##0.00_ ;_ [$₪-he-IL] * "-"??_ ;_ @_ </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4D55F-7633-495E-A517-D2E57B09B7A7}" name="OrdersYigaelIsrael" displayName="OrdersYigaelIsrael" ref="A1:N178" totalsRowShown="0">
  <autoFilter ref="A1:N178" xr:uid="{D8E4D55F-7633-495E-A517-D2E57B09B7A7}"/>
  <sortState xmlns:xlrd2="http://schemas.microsoft.com/office/spreadsheetml/2017/richdata2" ref="A2:N171">
    <sortCondition ref="C1:C171"/>
  </sortState>
  <tableColumns count="14">
    <tableColumn id="2" xr3:uid="{5377D207-6A74-471E-8C70-0B58E988DF12}" name="Instrument"/>
    <tableColumn id="9" xr3:uid="{FC2D2B3E-B702-4C81-AC51-F21FF8EE663D}" name="Buy Date"/>
    <tableColumn id="3" xr3:uid="{CC2B9441-F101-4DD3-A882-1AB61101DB89}" name="Sell Date"/>
    <tableColumn id="13" xr3:uid="{5A852904-7E8C-44E1-810A-2B8F5733B919}" name="Year-Month" dataDxfId="33" totalsRowDxfId="32">
      <calculatedColumnFormula>TEXT(OrdersYigaelIsrael[[#This Row],[Sell Date]],"yyyy-mm")</calculatedColumnFormula>
    </tableColumn>
    <tableColumn id="12" xr3:uid="{D4053344-6CF9-4E7B-934E-3263FD0DB466}" name="Buy Price" dataDxfId="31" totalsRowDxfId="30"/>
    <tableColumn id="4" xr3:uid="{FBE8C1D3-3ED3-4546-81C2-322238A7EF37}" name="Sell Price" dataDxfId="29" totalsRowDxfId="28"/>
    <tableColumn id="5" xr3:uid="{71923E4C-D072-4DE2-BA5B-5497E8A52E20}" name="Amount" dataDxfId="27" totalsRowDxfId="26"/>
    <tableColumn id="6" xr3:uid="{88EB131A-4CBC-452E-983A-18980F1CD46A}" name="Buy Value"/>
    <tableColumn id="7" xr3:uid="{F0BE4D8B-8BAD-4CFE-BE49-885336138903}" name="Sell Value"/>
    <tableColumn id="8" xr3:uid="{4B582F11-001C-4E35-9287-2933C77F609E}" name="Commission" dataDxfId="25" totalsRowDxfId="24">
      <calculatedColumnFormula>(OrdersYigaelIsrael[[#This Row],[Buy Value]]+OrdersYigaelIsrael[[#This Row],[Sell Value]])*0.0007</calculatedColumnFormula>
    </tableColumn>
    <tableColumn id="14" xr3:uid="{310E6F13-C63C-4125-9100-0C14AA75466C}" name="P&amp;L %" dataDxfId="23" totalsRowDxfId="22">
      <calculatedColumnFormula>(OrdersYigaelIsrael[[#This Row],[Sell Value]]-OrdersYigaelIsrael[[#This Row],[Buy Value]]-OrdersYigaelIsrael[[#This Row],[Commission]]+OrdersYigaelIsrael[[#This Row],[Dividand]])/OrdersYigaelIsrael[[#This Row],[Buy Value]]</calculatedColumnFormula>
    </tableColumn>
    <tableColumn id="10" xr3:uid="{FB3FC615-6EA5-453D-92AC-3B7F13A7B86C}" name="Dividand"/>
    <tableColumn id="11" xr3:uid="{B25D9C5F-8881-46CD-B823-DD1BB2DB4B2D}" name="P&amp;L">
      <calculatedColumnFormula>OrdersYigaelIsrael[[#This Row],[Buy Value]]-H1+OrdersYigaelIsrael[[#This Row],[Dividand]]</calculatedColumnFormula>
    </tableColumn>
    <tableColumn id="1" xr3:uid="{C692A8F8-5E74-4F7C-AB6F-99D2D92DF7FF}" name="Accumulated P&amp;L" dataDxfId="21" totalsRowDxfId="20">
      <calculatedColumnFormula>SUM(INDEX(OrdersYigaelIsrael[P&amp;L],1):OrdersYigaelIsrael[[#This Row],[P&amp;L]])</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97C0B8-187D-489C-9B45-EFC491A3829F}" name="TableYigaelUSA" displayName="TableYigaelUSA" ref="A1:O54" totalsRowShown="0" headerRowDxfId="19" dataDxfId="18">
  <autoFilter ref="A1:O54" xr:uid="{ED97C0B8-187D-489C-9B45-EFC491A3829F}"/>
  <sortState xmlns:xlrd2="http://schemas.microsoft.com/office/spreadsheetml/2017/richdata2" ref="A2:O52">
    <sortCondition ref="D1:D52"/>
  </sortState>
  <tableColumns count="15">
    <tableColumn id="1" xr3:uid="{28D21752-D54C-422C-908F-86B490C3CD26}" name="Symbol" dataDxfId="17">
      <calculatedColumnFormula array="1">_FV(TableYigaelUSA[[#This Row],[Instrumant]],"Ticker symbol",TRUE)</calculatedColumnFormula>
    </tableColumn>
    <tableColumn id="2" xr3:uid="{F8593744-CFDB-4BD8-9BD3-2F6CEFCBD68E}" name="Instrumant" dataDxfId="16"/>
    <tableColumn id="3" xr3:uid="{4CE18B60-D357-4968-973E-8C2240DFEFEA}" name="Buy Date" dataDxfId="15"/>
    <tableColumn id="4" xr3:uid="{A5A6946A-1240-4240-B6E5-C2432F77B4CA}" name="Sell Date" dataDxfId="14"/>
    <tableColumn id="5" xr3:uid="{DBFA348E-9AB7-423E-8756-B00BF417CBED}" name="Buy Price" dataDxfId="13"/>
    <tableColumn id="6" xr3:uid="{83C74041-836D-4C92-83A2-FD3CA4720788}" name="Sell Price" dataDxfId="12"/>
    <tableColumn id="13" xr3:uid="{A38DFB64-0BD9-4DEE-8B37-35EF553E32D8}" name="Current Price" dataDxfId="11">
      <calculatedColumnFormula array="1">_FV(TableYigaelUSA[[#This Row],[Instrumant]],"Price")</calculatedColumnFormula>
    </tableColumn>
    <tableColumn id="7" xr3:uid="{208C4898-7D3F-4F22-AF83-DF24151C856F}" name="Order ammount" dataDxfId="10"/>
    <tableColumn id="8" xr3:uid="{906846A8-2C24-456A-B2C2-331F4CE611AB}" name="Buy Value" dataDxfId="9">
      <calculatedColumnFormula>TableYigaelUSA[[#This Row],[Buy Price]]*TableYigaelUSA[[#This Row],[Order ammount]]</calculatedColumnFormula>
    </tableColumn>
    <tableColumn id="9" xr3:uid="{E125439E-9C1B-409C-B635-6A4FA242DA6E}" name="Sell Value" dataDxfId="8">
      <calculatedColumnFormula>TableYigaelUSA[[#This Row],[Sell Price]]*TableYigaelUSA[[#This Row],[Order ammount]]</calculatedColumnFormula>
    </tableColumn>
    <tableColumn id="17" xr3:uid="{F8D8DE15-8887-45E7-89E5-1CAE11A60B62}" name="Current Value" dataDxfId="7">
      <calculatedColumnFormula>TableYigaelUSA[[#This Row],[Current Price]]*TableYigaelUSA[[#This Row],[Order ammount]]</calculatedColumnFormula>
    </tableColumn>
    <tableColumn id="10" xr3:uid="{63AA8809-6060-4893-91D7-5211B4456110}" name="Dividand" dataDxfId="6"/>
    <tableColumn id="16" xr3:uid="{830399AB-40BC-4A4F-8B56-21D290B4BEFE}" name="Potential P&amp;L" dataDxfId="5">
      <calculatedColumnFormula>TableYigaelUSA[[#This Row],[Current Value]]-TableYigaelUSA[[#This Row],[Buy Value]] +TableYigaelUSA[[#This Row],[Dividand]]</calculatedColumnFormula>
    </tableColumn>
    <tableColumn id="11" xr3:uid="{36A33413-4BDC-4058-8E31-800DFBA4A18C}" name="Profit Loss on close" dataDxfId="4">
      <calculatedColumnFormula>TableYigaelUSA[[#This Row],[Sell Value]]-TableYigaelUSA[[#This Row],[Buy Value]] +TableYigaelUSA[[#This Row],[Dividand]]</calculatedColumnFormula>
    </tableColumn>
    <tableColumn id="12" xr3:uid="{AF6B46C5-EEC8-47E4-A4EF-A35B122D18F3}" name="Comment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540DB2-F4B6-410A-BD54-B538C17C8FF2}" name="Table4" displayName="Table4" ref="A1:C3" totalsRowShown="0">
  <autoFilter ref="A1:C3" xr:uid="{5B540DB2-F4B6-410A-BD54-B538C17C8FF2}"/>
  <tableColumns count="3">
    <tableColumn id="1" xr3:uid="{09CFF648-43CC-42E8-813D-C00BEC5395F7}" name="Date" dataDxfId="2"/>
    <tableColumn id="2" xr3:uid="{AF58D5A9-7AF0-4EF9-936A-3C38AA7F2563}" name="Event"/>
    <tableColumn id="3" xr3:uid="{564A6374-5A14-49EE-B31F-F7A64719D74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7E1A77-994D-4F7C-BE4F-3C7976D14A03}" name="OrdersKerenIsrael" displayName="OrdersKerenIsrael" ref="A1:K10" totalsRowShown="0">
  <autoFilter ref="A1:K10" xr:uid="{027E1A77-994D-4F7C-BE4F-3C7976D14A03}"/>
  <sortState xmlns:xlrd2="http://schemas.microsoft.com/office/spreadsheetml/2017/richdata2" ref="A2:K6">
    <sortCondition ref="C1:C6"/>
  </sortState>
  <tableColumns count="11">
    <tableColumn id="2" xr3:uid="{E47115B4-D643-4B8C-91BA-AD417BF427A1}" name="Instrument"/>
    <tableColumn id="9" xr3:uid="{4294A6C4-D767-4E1D-B161-C64DEDB6546E}" name="Buy Date"/>
    <tableColumn id="3" xr3:uid="{832D7941-4CD7-4B0D-8F31-3AA7C9C0D8E8}" name="Sell Date"/>
    <tableColumn id="12" xr3:uid="{7B632CCA-2BD0-4918-B71F-CFEC9A268770}" name="Buy Price"/>
    <tableColumn id="4" xr3:uid="{0E52C17D-6F43-4930-8935-A527E9A366DF}" name="Sell Price"/>
    <tableColumn id="5" xr3:uid="{F678CA8C-3FE2-456E-A40E-412144059F1A}" name="Order ammount"/>
    <tableColumn id="6" xr3:uid="{11710772-72A9-4776-9EB3-5CA2D2D9FEED}" name="Buy Value" dataDxfId="1">
      <calculatedColumnFormula>OrdersKerenIsrael[[#This Row],[Sell Price]]*OrdersKerenIsrael[[#This Row],[Order ammount]]/100</calculatedColumnFormula>
    </tableColumn>
    <tableColumn id="7" xr3:uid="{F49D9463-6C80-4E18-98D3-73B9A13FAF83}" name="Sell Value"/>
    <tableColumn id="10" xr3:uid="{83F5E037-5BAB-4CD9-B865-F7D5D414CA28}" name="Dividand"/>
    <tableColumn id="11" xr3:uid="{C75DA829-73D4-4D6F-8C63-CDF2C8A70713}" name="Profit Loss on close" dataDxfId="0">
      <calculatedColumnFormula>OrdersKerenIsrael[[#This Row],[Buy Value]]-G1</calculatedColumnFormula>
    </tableColumn>
    <tableColumn id="8" xr3:uid="{ECC4EDD7-D194-4DC2-B3CE-F016F6EFE657}" name="Comments"/>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41026-986E-4717-8246-2FB0114F2590}">
  <dimension ref="A1:W178"/>
  <sheetViews>
    <sheetView tabSelected="1" workbookViewId="0">
      <pane ySplit="1" topLeftCell="A156" activePane="bottomLeft" state="frozen"/>
      <selection activeCell="C1" sqref="C1"/>
      <selection pane="bottomLeft" activeCell="N178" sqref="N178"/>
    </sheetView>
  </sheetViews>
  <sheetFormatPr defaultRowHeight="15" x14ac:dyDescent="0.25"/>
  <cols>
    <col min="1" max="1" width="32.5703125" bestFit="1" customWidth="1"/>
    <col min="2" max="2" width="13.140625" customWidth="1"/>
    <col min="3" max="3" width="16" bestFit="1" customWidth="1"/>
    <col min="4" max="4" width="14" bestFit="1" customWidth="1"/>
    <col min="5" max="5" width="15.42578125" style="2" bestFit="1" customWidth="1"/>
    <col min="6" max="6" width="11.42578125" style="2" bestFit="1" customWidth="1"/>
    <col min="7" max="7" width="8.42578125" style="21" customWidth="1"/>
    <col min="8" max="9" width="15.28515625" customWidth="1"/>
    <col min="10" max="10" width="11" customWidth="1"/>
    <col min="11" max="11" width="12.7109375" customWidth="1"/>
    <col min="12" max="12" width="11.140625" customWidth="1"/>
    <col min="13" max="13" width="19" bestFit="1" customWidth="1"/>
    <col min="15" max="15" width="14.85546875" customWidth="1"/>
    <col min="16" max="16" width="17.140625" customWidth="1"/>
    <col min="17" max="17" width="15.140625" customWidth="1"/>
    <col min="18" max="18" width="13.42578125" bestFit="1" customWidth="1"/>
    <col min="21" max="21" width="13.42578125" bestFit="1" customWidth="1"/>
    <col min="22" max="22" width="12.7109375" bestFit="1" customWidth="1"/>
    <col min="23" max="23" width="16.42578125" customWidth="1"/>
  </cols>
  <sheetData>
    <row r="1" spans="1:23" ht="16.5" customHeight="1" x14ac:dyDescent="0.25">
      <c r="A1" t="s">
        <v>0</v>
      </c>
      <c r="B1" t="s">
        <v>1</v>
      </c>
      <c r="C1" t="s">
        <v>2</v>
      </c>
      <c r="D1" t="s">
        <v>81</v>
      </c>
      <c r="E1" s="2" t="s">
        <v>3</v>
      </c>
      <c r="F1" s="2" t="s">
        <v>4</v>
      </c>
      <c r="G1" s="21" t="s">
        <v>5</v>
      </c>
      <c r="H1" t="s">
        <v>6</v>
      </c>
      <c r="I1" t="s">
        <v>7</v>
      </c>
      <c r="J1" t="s">
        <v>8</v>
      </c>
      <c r="K1" t="s">
        <v>9</v>
      </c>
      <c r="L1" t="s">
        <v>10</v>
      </c>
      <c r="M1" t="s">
        <v>11</v>
      </c>
      <c r="N1" t="s">
        <v>12</v>
      </c>
      <c r="P1" t="s">
        <v>13</v>
      </c>
      <c r="Q1" s="18">
        <f>SUM(OrdersYigaelIsrael[P&amp;L])</f>
        <v>163737.27091042936</v>
      </c>
      <c r="S1" t="s">
        <v>14</v>
      </c>
      <c r="T1">
        <f>(Q1/W1)*100</f>
        <v>15.743968356772054</v>
      </c>
      <c r="V1" t="s">
        <v>15</v>
      </c>
      <c r="W1" s="18">
        <v>1040000</v>
      </c>
    </row>
    <row r="2" spans="1:23" x14ac:dyDescent="0.25">
      <c r="A2" t="s">
        <v>16</v>
      </c>
      <c r="B2" s="1">
        <v>45292</v>
      </c>
      <c r="C2" s="1">
        <v>44927</v>
      </c>
      <c r="D2" t="str">
        <f>TEXT(OrdersYigaelIsrael[[#This Row],[Sell Date]],"yyyy-mm")</f>
        <v>2023-01</v>
      </c>
      <c r="E2" s="2">
        <v>47010</v>
      </c>
      <c r="F2" s="2">
        <v>47020</v>
      </c>
      <c r="G2" s="21">
        <v>1</v>
      </c>
      <c r="H2">
        <f>OrdersYigaelIsrael[[#This Row],[Buy Price]]*OrdersYigaelIsrael[[#This Row],[Amount]]/100</f>
        <v>470.1</v>
      </c>
      <c r="I2">
        <f>OrdersYigaelIsrael[[#This Row],[Sell Price]]*OrdersYigaelIsrael[[#This Row],[Amount]]/100</f>
        <v>470.2</v>
      </c>
      <c r="J2">
        <f>(OrdersYigaelIsrael[[#This Row],[Buy Value]]+OrdersYigaelIsrael[[#This Row],[Sell Value]])*0.0007</f>
        <v>0.65820999999999996</v>
      </c>
      <c r="K2" s="19">
        <f>(OrdersYigaelIsrael[[#This Row],[Sell Value]]-OrdersYigaelIsrael[[#This Row],[Buy Value]]-OrdersYigaelIsrael[[#This Row],[Commission]]+OrdersYigaelIsrael[[#This Row],[Dividand]])/OrdersYigaelIsrael[[#This Row],[Buy Value]]</f>
        <v>-1.1874282067645906E-3</v>
      </c>
      <c r="M2">
        <f>OrdersYigaelIsrael[[#This Row],[Sell Value]]-OrdersYigaelIsrael[[#This Row],[Buy Value]]+OrdersYigaelIsrael[[#This Row],[Dividand]]</f>
        <v>9.9999999999965894E-2</v>
      </c>
      <c r="N2">
        <f>SUM(INDEX(OrdersYigaelIsrael[P&amp;L],1):OrdersYigaelIsrael[[#This Row],[P&amp;L]])</f>
        <v>9.9999999999965894E-2</v>
      </c>
    </row>
    <row r="3" spans="1:23" x14ac:dyDescent="0.25">
      <c r="A3" t="s">
        <v>17</v>
      </c>
      <c r="B3" s="1">
        <v>45130</v>
      </c>
      <c r="C3" s="1">
        <v>45187</v>
      </c>
      <c r="D3" t="str">
        <f>TEXT(OrdersYigaelIsrael[[#This Row],[Sell Date]],"yyyy-mm")</f>
        <v>2023-09</v>
      </c>
      <c r="E3" s="2">
        <v>3082</v>
      </c>
      <c r="F3" s="2">
        <v>3075</v>
      </c>
      <c r="G3" s="21">
        <v>13003</v>
      </c>
      <c r="H3">
        <f>OrdersYigaelIsrael[[#This Row],[Buy Price]]*OrdersYigaelIsrael[[#This Row],[Amount]]/100</f>
        <v>400752.46</v>
      </c>
      <c r="I3">
        <f>OrdersYigaelIsrael[[#This Row],[Sell Price]]*OrdersYigaelIsrael[[#This Row],[Amount]]/100</f>
        <v>399842.25</v>
      </c>
      <c r="J3">
        <f>(OrdersYigaelIsrael[[#This Row],[Buy Value]]+OrdersYigaelIsrael[[#This Row],[Sell Value]])*0.0007</f>
        <v>560.41629699999999</v>
      </c>
      <c r="K3" s="19">
        <f>(OrdersYigaelIsrael[[#This Row],[Sell Value]]-OrdersYigaelIsrael[[#This Row],[Buy Value]]-OrdersYigaelIsrael[[#This Row],[Commission]]+OrdersYigaelIsrael[[#This Row],[Dividand]])/OrdersYigaelIsrael[[#This Row],[Buy Value]]</f>
        <v>8.0507895148041742E-3</v>
      </c>
      <c r="L3">
        <v>4697</v>
      </c>
      <c r="M3">
        <f>OrdersYigaelIsrael[[#This Row],[Sell Value]]-OrdersYigaelIsrael[[#This Row],[Buy Value]]+OrdersYigaelIsrael[[#This Row],[Dividand]]-OrdersYigaelIsrael[[#This Row],[Commission]]</f>
        <v>3226.3737029999793</v>
      </c>
      <c r="N3">
        <f>SUM(INDEX(OrdersYigaelIsrael[P&amp;L],1):OrdersYigaelIsrael[[#This Row],[P&amp;L]])</f>
        <v>3226.4737029999792</v>
      </c>
    </row>
    <row r="4" spans="1:23" x14ac:dyDescent="0.25">
      <c r="A4" t="s">
        <v>17</v>
      </c>
      <c r="B4" s="1">
        <v>45207</v>
      </c>
      <c r="C4" s="1">
        <v>45259</v>
      </c>
      <c r="D4" t="str">
        <f>TEXT(OrdersYigaelIsrael[[#This Row],[Sell Date]],"yyyy-mm")</f>
        <v>2023-11</v>
      </c>
      <c r="E4" s="2">
        <v>2829</v>
      </c>
      <c r="F4" s="2">
        <v>2860</v>
      </c>
      <c r="G4" s="21">
        <v>26084</v>
      </c>
      <c r="H4">
        <f>OrdersYigaelIsrael[[#This Row],[Buy Price]]*OrdersYigaelIsrael[[#This Row],[Amount]]/100</f>
        <v>737916.36</v>
      </c>
      <c r="I4">
        <f>OrdersYigaelIsrael[[#This Row],[Sell Price]]*OrdersYigaelIsrael[[#This Row],[Amount]]/100</f>
        <v>746002.4</v>
      </c>
      <c r="J4">
        <f>(OrdersYigaelIsrael[[#This Row],[Buy Value]]+OrdersYigaelIsrael[[#This Row],[Sell Value]])*0.0007</f>
        <v>1038.7431320000001</v>
      </c>
      <c r="K4" s="19">
        <f>(OrdersYigaelIsrael[[#This Row],[Sell Value]]-OrdersYigaelIsrael[[#This Row],[Buy Value]]-OrdersYigaelIsrael[[#This Row],[Commission]]+OrdersYigaelIsrael[[#This Row],[Dividand]])/OrdersYigaelIsrael[[#This Row],[Buy Value]]</f>
        <v>9.5502651113468177E-3</v>
      </c>
      <c r="M4">
        <f>OrdersYigaelIsrael[[#This Row],[Sell Value]]-OrdersYigaelIsrael[[#This Row],[Buy Value]]+OrdersYigaelIsrael[[#This Row],[Dividand]]-OrdersYigaelIsrael[[#This Row],[Commission]]</f>
        <v>7047.2968680000376</v>
      </c>
      <c r="N4">
        <f>SUM(INDEX(OrdersYigaelIsrael[P&amp;L],1):OrdersYigaelIsrael[[#This Row],[P&amp;L]])</f>
        <v>10273.770571000017</v>
      </c>
    </row>
    <row r="5" spans="1:23" x14ac:dyDescent="0.25">
      <c r="A5" t="s">
        <v>17</v>
      </c>
      <c r="B5" s="1">
        <v>45260</v>
      </c>
      <c r="C5" s="1">
        <v>45274</v>
      </c>
      <c r="D5" t="str">
        <f>TEXT(OrdersYigaelIsrael[[#This Row],[Sell Date]],"yyyy-mm")</f>
        <v>2023-12</v>
      </c>
      <c r="E5" s="3">
        <v>2790</v>
      </c>
      <c r="F5" s="4">
        <v>2794</v>
      </c>
      <c r="G5" s="21">
        <v>12541</v>
      </c>
      <c r="H5">
        <f>OrdersYigaelIsrael[[#This Row],[Buy Price]]*OrdersYigaelIsrael[[#This Row],[Amount]]/100</f>
        <v>349893.9</v>
      </c>
      <c r="I5">
        <f>OrdersYigaelIsrael[[#This Row],[Sell Price]]*OrdersYigaelIsrael[[#This Row],[Amount]]/100</f>
        <v>350395.54</v>
      </c>
      <c r="J5">
        <f>(OrdersYigaelIsrael[[#This Row],[Buy Value]]+OrdersYigaelIsrael[[#This Row],[Sell Value]])*0.0007</f>
        <v>490.20260799999994</v>
      </c>
      <c r="K5" s="19">
        <f>(OrdersYigaelIsrael[[#This Row],[Sell Value]]-OrdersYigaelIsrael[[#This Row],[Buy Value]]-OrdersYigaelIsrael[[#This Row],[Commission]]+OrdersYigaelIsrael[[#This Row],[Dividand]])/OrdersYigaelIsrael[[#This Row],[Buy Value]]</f>
        <v>3.2688172042884485E-5</v>
      </c>
      <c r="M5">
        <f>OrdersYigaelIsrael[[#This Row],[Sell Value]]-OrdersYigaelIsrael[[#This Row],[Buy Value]]+OrdersYigaelIsrael[[#This Row],[Dividand]]-OrdersYigaelIsrael[[#This Row],[Commission]]</f>
        <v>11.437391999955821</v>
      </c>
      <c r="N5">
        <f>SUM(INDEX(OrdersYigaelIsrael[P&amp;L],1):OrdersYigaelIsrael[[#This Row],[P&amp;L]])</f>
        <v>10285.207962999973</v>
      </c>
    </row>
    <row r="6" spans="1:23" x14ac:dyDescent="0.25">
      <c r="A6" t="s">
        <v>18</v>
      </c>
      <c r="B6" s="1">
        <v>45260</v>
      </c>
      <c r="C6" s="1">
        <v>45278</v>
      </c>
      <c r="D6" t="str">
        <f>TEXT(OrdersYigaelIsrael[[#This Row],[Sell Date]],"yyyy-mm")</f>
        <v>2023-12</v>
      </c>
      <c r="E6" s="2">
        <v>13380</v>
      </c>
      <c r="F6" s="2">
        <v>13600</v>
      </c>
      <c r="G6" s="21">
        <v>1870</v>
      </c>
      <c r="H6">
        <f>OrdersYigaelIsrael[[#This Row],[Buy Price]]*OrdersYigaelIsrael[[#This Row],[Amount]]/100</f>
        <v>250206</v>
      </c>
      <c r="I6">
        <f>OrdersYigaelIsrael[[#This Row],[Sell Price]]*OrdersYigaelIsrael[[#This Row],[Amount]]/100</f>
        <v>254320</v>
      </c>
      <c r="J6">
        <f>(OrdersYigaelIsrael[[#This Row],[Buy Value]]+OrdersYigaelIsrael[[#This Row],[Sell Value]])*0.0007</f>
        <v>353.16820000000001</v>
      </c>
      <c r="K6" s="19">
        <f>(OrdersYigaelIsrael[[#This Row],[Sell Value]]-OrdersYigaelIsrael[[#This Row],[Buy Value]]-OrdersYigaelIsrael[[#This Row],[Commission]]+OrdersYigaelIsrael[[#This Row],[Dividand]])/OrdersYigaelIsrael[[#This Row],[Buy Value]]</f>
        <v>1.8607994212768677E-2</v>
      </c>
      <c r="L6">
        <v>895</v>
      </c>
      <c r="M6">
        <f>OrdersYigaelIsrael[[#This Row],[Sell Value]]-OrdersYigaelIsrael[[#This Row],[Buy Value]]+OrdersYigaelIsrael[[#This Row],[Dividand]]-OrdersYigaelIsrael[[#This Row],[Commission]]</f>
        <v>4655.8317999999999</v>
      </c>
      <c r="N6">
        <f>SUM(INDEX(OrdersYigaelIsrael[P&amp;L],1):OrdersYigaelIsrael[[#This Row],[P&amp;L]])</f>
        <v>14941.039762999973</v>
      </c>
    </row>
    <row r="7" spans="1:23" x14ac:dyDescent="0.25">
      <c r="A7" t="s">
        <v>19</v>
      </c>
      <c r="B7" s="1">
        <v>45274</v>
      </c>
      <c r="C7" s="1">
        <v>45279</v>
      </c>
      <c r="D7" t="str">
        <f>TEXT(OrdersYigaelIsrael[[#This Row],[Sell Date]],"yyyy-mm")</f>
        <v>2023-12</v>
      </c>
      <c r="E7" s="2">
        <v>76447.649999999994</v>
      </c>
      <c r="F7" s="2">
        <v>78000</v>
      </c>
      <c r="G7" s="21">
        <v>196</v>
      </c>
      <c r="H7">
        <f>OrdersYigaelIsrael[[#This Row],[Buy Price]]*OrdersYigaelIsrael[[#This Row],[Amount]]/100</f>
        <v>149837.39399999997</v>
      </c>
      <c r="I7">
        <f>OrdersYigaelIsrael[[#This Row],[Sell Price]]*OrdersYigaelIsrael[[#This Row],[Amount]]/100</f>
        <v>152880</v>
      </c>
      <c r="J7">
        <f>(OrdersYigaelIsrael[[#This Row],[Buy Value]]+OrdersYigaelIsrael[[#This Row],[Sell Value]])*0.0007</f>
        <v>211.90217579999998</v>
      </c>
      <c r="K7" s="19">
        <f>(OrdersYigaelIsrael[[#This Row],[Sell Value]]-OrdersYigaelIsrael[[#This Row],[Buy Value]]-OrdersYigaelIsrael[[#This Row],[Commission]]+OrdersYigaelIsrael[[#This Row],[Dividand]])/OrdersYigaelIsrael[[#This Row],[Buy Value]]</f>
        <v>1.8891838336430419E-2</v>
      </c>
      <c r="M7">
        <f>OrdersYigaelIsrael[[#This Row],[Sell Value]]-OrdersYigaelIsrael[[#This Row],[Buy Value]]+OrdersYigaelIsrael[[#This Row],[Dividand]]-OrdersYigaelIsrael[[#This Row],[Commission]]</f>
        <v>2830.703824200029</v>
      </c>
      <c r="N7">
        <f>SUM(INDEX(OrdersYigaelIsrael[P&amp;L],1):OrdersYigaelIsrael[[#This Row],[P&amp;L]])</f>
        <v>17771.743587200002</v>
      </c>
    </row>
    <row r="8" spans="1:23" x14ac:dyDescent="0.25">
      <c r="A8" t="s">
        <v>16</v>
      </c>
      <c r="B8" s="1">
        <v>45278</v>
      </c>
      <c r="C8" s="1">
        <v>45280</v>
      </c>
      <c r="D8" t="str">
        <f>TEXT(OrdersYigaelIsrael[[#This Row],[Sell Date]],"yyyy-mm")</f>
        <v>2023-12</v>
      </c>
      <c r="E8" s="2">
        <v>48199.12</v>
      </c>
      <c r="F8" s="2">
        <v>49160</v>
      </c>
      <c r="G8" s="21">
        <v>249</v>
      </c>
      <c r="H8">
        <f>OrdersYigaelIsrael[[#This Row],[Buy Price]]*OrdersYigaelIsrael[[#This Row],[Amount]]/100</f>
        <v>120015.80880000001</v>
      </c>
      <c r="I8">
        <f>OrdersYigaelIsrael[[#This Row],[Sell Price]]*OrdersYigaelIsrael[[#This Row],[Amount]]/100</f>
        <v>122408.4</v>
      </c>
      <c r="J8">
        <f>(OrdersYigaelIsrael[[#This Row],[Buy Value]]+OrdersYigaelIsrael[[#This Row],[Sell Value]])*0.0007</f>
        <v>169.69694616000001</v>
      </c>
      <c r="K8" s="19">
        <f>(OrdersYigaelIsrael[[#This Row],[Sell Value]]-OrdersYigaelIsrael[[#This Row],[Buy Value]]-OrdersYigaelIsrael[[#This Row],[Commission]]+OrdersYigaelIsrael[[#This Row],[Dividand]])/OrdersYigaelIsrael[[#This Row],[Buy Value]]</f>
        <v>1.852167873604315E-2</v>
      </c>
      <c r="M8">
        <f>OrdersYigaelIsrael[[#This Row],[Sell Value]]-OrdersYigaelIsrael[[#This Row],[Buy Value]]+OrdersYigaelIsrael[[#This Row],[Dividand]]-OrdersYigaelIsrael[[#This Row],[Commission]]</f>
        <v>2222.8942538399806</v>
      </c>
      <c r="N8">
        <f>SUM(INDEX(OrdersYigaelIsrael[P&amp;L],1):OrdersYigaelIsrael[[#This Row],[P&amp;L]])</f>
        <v>19994.637841039985</v>
      </c>
    </row>
    <row r="9" spans="1:23" x14ac:dyDescent="0.25">
      <c r="A9" t="s">
        <v>20</v>
      </c>
      <c r="B9" s="1">
        <v>45274</v>
      </c>
      <c r="C9" s="1">
        <v>45281</v>
      </c>
      <c r="D9" t="str">
        <f>TEXT(OrdersYigaelIsrael[[#This Row],[Sell Date]],"yyyy-mm")</f>
        <v>2023-12</v>
      </c>
      <c r="E9" s="2">
        <v>3709.4</v>
      </c>
      <c r="F9" s="2">
        <v>3781</v>
      </c>
      <c r="G9" s="21">
        <v>4056</v>
      </c>
      <c r="H9">
        <f>OrdersYigaelIsrael[[#This Row],[Buy Price]]*OrdersYigaelIsrael[[#This Row],[Amount]]/100</f>
        <v>150453.264</v>
      </c>
      <c r="I9">
        <f>OrdersYigaelIsrael[[#This Row],[Sell Price]]*OrdersYigaelIsrael[[#This Row],[Amount]]/100</f>
        <v>153357.35999999999</v>
      </c>
      <c r="J9">
        <f>(OrdersYigaelIsrael[[#This Row],[Buy Value]]+OrdersYigaelIsrael[[#This Row],[Sell Value]])*0.0007</f>
        <v>212.66743679999996</v>
      </c>
      <c r="K9" s="19">
        <f>(OrdersYigaelIsrael[[#This Row],[Sell Value]]-OrdersYigaelIsrael[[#This Row],[Buy Value]]-OrdersYigaelIsrael[[#This Row],[Commission]]+OrdersYigaelIsrael[[#This Row],[Dividand]])/OrdersYigaelIsrael[[#This Row],[Buy Value]]</f>
        <v>1.7888801423410733E-2</v>
      </c>
      <c r="M9">
        <f>OrdersYigaelIsrael[[#This Row],[Sell Value]]-OrdersYigaelIsrael[[#This Row],[Buy Value]]+OrdersYigaelIsrael[[#This Row],[Dividand]]-OrdersYigaelIsrael[[#This Row],[Commission]]</f>
        <v>2691.4285631999905</v>
      </c>
      <c r="N9">
        <f>SUM(INDEX(OrdersYigaelIsrael[P&amp;L],1):OrdersYigaelIsrael[[#This Row],[P&amp;L]])</f>
        <v>22686.066404239977</v>
      </c>
    </row>
    <row r="10" spans="1:23" x14ac:dyDescent="0.25">
      <c r="A10" t="s">
        <v>21</v>
      </c>
      <c r="B10" s="1">
        <v>45279</v>
      </c>
      <c r="C10" s="1">
        <v>45281</v>
      </c>
      <c r="D10" t="str">
        <f>TEXT(OrdersYigaelIsrael[[#This Row],[Sell Date]],"yyyy-mm")</f>
        <v>2023-12</v>
      </c>
      <c r="E10" s="2">
        <v>3198.47</v>
      </c>
      <c r="F10" s="2">
        <v>3262</v>
      </c>
      <c r="G10" s="21">
        <v>4692</v>
      </c>
      <c r="H10">
        <f>OrdersYigaelIsrael[[#This Row],[Buy Price]]*OrdersYigaelIsrael[[#This Row],[Amount]]/100</f>
        <v>150072.21239999999</v>
      </c>
      <c r="I10">
        <f>OrdersYigaelIsrael[[#This Row],[Sell Price]]*OrdersYigaelIsrael[[#This Row],[Amount]]/100</f>
        <v>153053.04</v>
      </c>
      <c r="J10">
        <f>(OrdersYigaelIsrael[[#This Row],[Buy Value]]+OrdersYigaelIsrael[[#This Row],[Sell Value]])*0.0007</f>
        <v>212.18767668000001</v>
      </c>
      <c r="K10" s="19">
        <f>(OrdersYigaelIsrael[[#This Row],[Sell Value]]-OrdersYigaelIsrael[[#This Row],[Buy Value]]-OrdersYigaelIsrael[[#This Row],[Commission]]+OrdersYigaelIsrael[[#This Row],[Dividand]])/OrdersYigaelIsrael[[#This Row],[Buy Value]]</f>
        <v>1.8448717980784689E-2</v>
      </c>
      <c r="M10">
        <f>OrdersYigaelIsrael[[#This Row],[Sell Value]]-OrdersYigaelIsrael[[#This Row],[Buy Value]]+OrdersYigaelIsrael[[#This Row],[Dividand]]-OrdersYigaelIsrael[[#This Row],[Commission]]</f>
        <v>2768.6399233200186</v>
      </c>
      <c r="N10">
        <f>SUM(INDEX(OrdersYigaelIsrael[P&amp;L],1):OrdersYigaelIsrael[[#This Row],[P&amp;L]])</f>
        <v>25454.706327559994</v>
      </c>
    </row>
    <row r="11" spans="1:23" x14ac:dyDescent="0.25">
      <c r="A11" t="s">
        <v>22</v>
      </c>
      <c r="B11" s="1">
        <v>45256</v>
      </c>
      <c r="C11" s="1">
        <v>45285</v>
      </c>
      <c r="D11" t="str">
        <f>TEXT(OrdersYigaelIsrael[[#This Row],[Sell Date]],"yyyy-mm")</f>
        <v>2023-12</v>
      </c>
      <c r="E11" s="2">
        <v>913</v>
      </c>
      <c r="F11" s="2">
        <v>1123.83</v>
      </c>
      <c r="G11" s="21">
        <v>1845</v>
      </c>
      <c r="H11">
        <f>OrdersYigaelIsrael[[#This Row],[Buy Price]]*OrdersYigaelIsrael[[#This Row],[Amount]]/100</f>
        <v>16844.849999999999</v>
      </c>
      <c r="I11">
        <f>OrdersYigaelIsrael[[#This Row],[Sell Price]]*OrdersYigaelIsrael[[#This Row],[Amount]]/100</f>
        <v>20734.663499999999</v>
      </c>
      <c r="J11">
        <f>(OrdersYigaelIsrael[[#This Row],[Buy Value]]+OrdersYigaelIsrael[[#This Row],[Sell Value]])*0.0007</f>
        <v>26.30565945</v>
      </c>
      <c r="K11" s="19">
        <f>(OrdersYigaelIsrael[[#This Row],[Sell Value]]-OrdersYigaelIsrael[[#This Row],[Buy Value]]-OrdersYigaelIsrael[[#This Row],[Commission]]+OrdersYigaelIsrael[[#This Row],[Dividand]])/OrdersYigaelIsrael[[#This Row],[Buy Value]]</f>
        <v>0.24230004069789882</v>
      </c>
      <c r="L11">
        <v>218</v>
      </c>
      <c r="M11">
        <f>OrdersYigaelIsrael[[#This Row],[Sell Value]]-OrdersYigaelIsrael[[#This Row],[Buy Value]]+OrdersYigaelIsrael[[#This Row],[Dividand]]-OrdersYigaelIsrael[[#This Row],[Commission]]</f>
        <v>4081.5078405500003</v>
      </c>
      <c r="N11">
        <f>SUM(INDEX(OrdersYigaelIsrael[P&amp;L],1):OrdersYigaelIsrael[[#This Row],[P&amp;L]])</f>
        <v>29536.214168109993</v>
      </c>
    </row>
    <row r="12" spans="1:23" x14ac:dyDescent="0.25">
      <c r="A12" t="s">
        <v>23</v>
      </c>
      <c r="B12" s="1">
        <v>45260</v>
      </c>
      <c r="C12" s="1">
        <v>45285</v>
      </c>
      <c r="D12" t="str">
        <f>TEXT(OrdersYigaelIsrael[[#This Row],[Sell Date]],"yyyy-mm")</f>
        <v>2023-12</v>
      </c>
      <c r="E12" s="2">
        <v>1815</v>
      </c>
      <c r="F12" s="2">
        <v>1851</v>
      </c>
      <c r="G12" s="21">
        <v>8264</v>
      </c>
      <c r="H12">
        <f>OrdersYigaelIsrael[[#This Row],[Buy Price]]*OrdersYigaelIsrael[[#This Row],[Amount]]/100</f>
        <v>149991.6</v>
      </c>
      <c r="I12">
        <f>OrdersYigaelIsrael[[#This Row],[Sell Price]]*OrdersYigaelIsrael[[#This Row],[Amount]]/100</f>
        <v>152966.64000000001</v>
      </c>
      <c r="J12">
        <f>(OrdersYigaelIsrael[[#This Row],[Buy Value]]+OrdersYigaelIsrael[[#This Row],[Sell Value]])*0.0007</f>
        <v>212.07076799999999</v>
      </c>
      <c r="K12" s="19">
        <f>(OrdersYigaelIsrael[[#This Row],[Sell Value]]-OrdersYigaelIsrael[[#This Row],[Buy Value]]-OrdersYigaelIsrael[[#This Row],[Commission]]+OrdersYigaelIsrael[[#This Row],[Dividand]])/OrdersYigaelIsrael[[#This Row],[Buy Value]]</f>
        <v>2.2514389019118456E-2</v>
      </c>
      <c r="L12">
        <v>614</v>
      </c>
      <c r="M12">
        <f>OrdersYigaelIsrael[[#This Row],[Sell Value]]-OrdersYigaelIsrael[[#This Row],[Buy Value]]+OrdersYigaelIsrael[[#This Row],[Dividand]]-OrdersYigaelIsrael[[#This Row],[Commission]]</f>
        <v>3376.9692320000081</v>
      </c>
      <c r="N12">
        <f>SUM(INDEX(OrdersYigaelIsrael[P&amp;L],1):OrdersYigaelIsrael[[#This Row],[P&amp;L]])</f>
        <v>32913.18340011</v>
      </c>
    </row>
    <row r="13" spans="1:23" x14ac:dyDescent="0.25">
      <c r="A13" t="s">
        <v>19</v>
      </c>
      <c r="B13" s="5">
        <v>45280</v>
      </c>
      <c r="C13" s="1">
        <v>45286</v>
      </c>
      <c r="D13" t="str">
        <f>TEXT(OrdersYigaelIsrael[[#This Row],[Sell Date]],"yyyy-mm")</f>
        <v>2023-12</v>
      </c>
      <c r="E13" s="2">
        <v>78162.998000000007</v>
      </c>
      <c r="F13" s="2">
        <v>79167.740000000005</v>
      </c>
      <c r="G13" s="21">
        <v>487</v>
      </c>
      <c r="H13">
        <f>OrdersYigaelIsrael[[#This Row],[Buy Price]]*OrdersYigaelIsrael[[#This Row],[Amount]]/100</f>
        <v>380653.80025999999</v>
      </c>
      <c r="I13">
        <f>OrdersYigaelIsrael[[#This Row],[Sell Price]]*OrdersYigaelIsrael[[#This Row],[Amount]]/100</f>
        <v>385546.89380000002</v>
      </c>
      <c r="J13">
        <f>(OrdersYigaelIsrael[[#This Row],[Buy Value]]+OrdersYigaelIsrael[[#This Row],[Sell Value]])*0.0007</f>
        <v>536.34048584200002</v>
      </c>
      <c r="K13" s="19">
        <f>(OrdersYigaelIsrael[[#This Row],[Sell Value]]-OrdersYigaelIsrael[[#This Row],[Buy Value]]-OrdersYigaelIsrael[[#This Row],[Commission]]+OrdersYigaelIsrael[[#This Row],[Dividand]])/OrdersYigaelIsrael[[#This Row],[Buy Value]]</f>
        <v>1.3389471090730656E-2</v>
      </c>
      <c r="L13">
        <v>740</v>
      </c>
      <c r="M13">
        <f>OrdersYigaelIsrael[[#This Row],[Sell Value]]-OrdersYigaelIsrael[[#This Row],[Buy Value]]+OrdersYigaelIsrael[[#This Row],[Dividand]]-OrdersYigaelIsrael[[#This Row],[Commission]]</f>
        <v>5096.7530541580309</v>
      </c>
      <c r="N13">
        <f>SUM(INDEX(OrdersYigaelIsrael[P&amp;L],1):OrdersYigaelIsrael[[#This Row],[P&amp;L]])</f>
        <v>38009.936454268027</v>
      </c>
    </row>
    <row r="14" spans="1:23" x14ac:dyDescent="0.25">
      <c r="A14" t="s">
        <v>24</v>
      </c>
      <c r="B14" s="1">
        <v>45292</v>
      </c>
      <c r="C14" s="1">
        <v>45294</v>
      </c>
      <c r="D14" t="str">
        <f>TEXT(OrdersYigaelIsrael[[#This Row],[Sell Date]],"yyyy-mm")</f>
        <v>2024-01</v>
      </c>
      <c r="E14" s="2">
        <v>1337.539</v>
      </c>
      <c r="F14" s="2">
        <v>1341.05</v>
      </c>
      <c r="G14" s="21">
        <v>11236</v>
      </c>
      <c r="H14">
        <f>OrdersYigaelIsrael[[#This Row],[Buy Price]]*OrdersYigaelIsrael[[#This Row],[Amount]]/100</f>
        <v>150285.88204</v>
      </c>
      <c r="I14">
        <f>OrdersYigaelIsrael[[#This Row],[Sell Price]]*OrdersYigaelIsrael[[#This Row],[Amount]]/100</f>
        <v>150680.378</v>
      </c>
      <c r="J14">
        <f>(OrdersYigaelIsrael[[#This Row],[Buy Value]]+OrdersYigaelIsrael[[#This Row],[Sell Value]])*0.0007</f>
        <v>210.67638202799998</v>
      </c>
      <c r="K14" s="19">
        <f>(OrdersYigaelIsrael[[#This Row],[Sell Value]]-OrdersYigaelIsrael[[#This Row],[Buy Value]]-OrdersYigaelIsrael[[#This Row],[Commission]]+OrdersYigaelIsrael[[#This Row],[Dividand]])/OrdersYigaelIsrael[[#This Row],[Buy Value]]</f>
        <v>1.2231327086537304E-3</v>
      </c>
      <c r="M14">
        <f>OrdersYigaelIsrael[[#This Row],[Sell Value]]-OrdersYigaelIsrael[[#This Row],[Buy Value]]+OrdersYigaelIsrael[[#This Row],[Dividand]]-OrdersYigaelIsrael[[#This Row],[Commission]]</f>
        <v>183.81957797200022</v>
      </c>
      <c r="N14">
        <f>SUM(INDEX(OrdersYigaelIsrael[P&amp;L],1):OrdersYigaelIsrael[[#This Row],[P&amp;L]])</f>
        <v>38193.756032240024</v>
      </c>
    </row>
    <row r="15" spans="1:23" x14ac:dyDescent="0.25">
      <c r="A15" t="s">
        <v>25</v>
      </c>
      <c r="B15" s="1">
        <v>45280</v>
      </c>
      <c r="C15" s="1">
        <v>45305</v>
      </c>
      <c r="D15" t="str">
        <f>TEXT(OrdersYigaelIsrael[[#This Row],[Sell Date]],"yyyy-mm")</f>
        <v>2024-01</v>
      </c>
      <c r="E15" s="2">
        <v>2046.54</v>
      </c>
      <c r="F15" s="2">
        <v>2080.54</v>
      </c>
      <c r="G15" s="21">
        <v>2192</v>
      </c>
      <c r="H15">
        <f>OrdersYigaelIsrael[[#This Row],[Buy Price]]*OrdersYigaelIsrael[[#This Row],[Amount]]/100</f>
        <v>44860.156799999997</v>
      </c>
      <c r="I15">
        <f>OrdersYigaelIsrael[[#This Row],[Sell Price]]*OrdersYigaelIsrael[[#This Row],[Amount]]/100</f>
        <v>45605.436799999996</v>
      </c>
      <c r="J15">
        <f>(OrdersYigaelIsrael[[#This Row],[Buy Value]]+OrdersYigaelIsrael[[#This Row],[Sell Value]])*0.0007</f>
        <v>63.325915519999995</v>
      </c>
      <c r="K15" s="19">
        <f>(OrdersYigaelIsrael[[#This Row],[Sell Value]]-OrdersYigaelIsrael[[#This Row],[Buy Value]]-OrdersYigaelIsrael[[#This Row],[Commission]]+OrdersYigaelIsrael[[#This Row],[Dividand]])/OrdersYigaelIsrael[[#This Row],[Buy Value]]</f>
        <v>0.26187946994603462</v>
      </c>
      <c r="L15">
        <v>11066</v>
      </c>
      <c r="M15">
        <f>OrdersYigaelIsrael[[#This Row],[Sell Value]]-OrdersYigaelIsrael[[#This Row],[Buy Value]]+OrdersYigaelIsrael[[#This Row],[Dividand]]-OrdersYigaelIsrael[[#This Row],[Commission]]</f>
        <v>11747.954084479999</v>
      </c>
      <c r="N15">
        <f>SUM(INDEX(OrdersYigaelIsrael[P&amp;L],1):OrdersYigaelIsrael[[#This Row],[P&amp;L]])</f>
        <v>49941.710116720024</v>
      </c>
    </row>
    <row r="16" spans="1:23" x14ac:dyDescent="0.25">
      <c r="A16" t="s">
        <v>26</v>
      </c>
      <c r="B16" s="1">
        <v>45278</v>
      </c>
      <c r="C16" s="1">
        <v>45333</v>
      </c>
      <c r="D16" t="str">
        <f>TEXT(OrdersYigaelIsrael[[#This Row],[Sell Date]],"yyyy-mm")</f>
        <v>2024-02</v>
      </c>
      <c r="E16" s="2">
        <v>2979.72</v>
      </c>
      <c r="F16" s="2">
        <v>3122.73</v>
      </c>
      <c r="G16" s="21">
        <v>4035</v>
      </c>
      <c r="H16">
        <f>OrdersYigaelIsrael[[#This Row],[Buy Price]]*OrdersYigaelIsrael[[#This Row],[Amount]]/100</f>
        <v>120231.70199999999</v>
      </c>
      <c r="I16">
        <f>OrdersYigaelIsrael[[#This Row],[Sell Price]]*OrdersYigaelIsrael[[#This Row],[Amount]]/100</f>
        <v>126002.15550000001</v>
      </c>
      <c r="J16">
        <f>(OrdersYigaelIsrael[[#This Row],[Buy Value]]+OrdersYigaelIsrael[[#This Row],[Sell Value]])*0.0007</f>
        <v>172.36370024999999</v>
      </c>
      <c r="K16" s="19">
        <f>(OrdersYigaelIsrael[[#This Row],[Sell Value]]-OrdersYigaelIsrael[[#This Row],[Buy Value]]-OrdersYigaelIsrael[[#This Row],[Commission]]+OrdersYigaelIsrael[[#This Row],[Dividand]])/OrdersYigaelIsrael[[#This Row],[Buy Value]]</f>
        <v>4.6560846321131E-2</v>
      </c>
      <c r="M16">
        <f>OrdersYigaelIsrael[[#This Row],[Sell Value]]-OrdersYigaelIsrael[[#This Row],[Buy Value]]+OrdersYigaelIsrael[[#This Row],[Dividand]]-OrdersYigaelIsrael[[#This Row],[Commission]]</f>
        <v>5598.0897997500178</v>
      </c>
      <c r="N16">
        <f>SUM(INDEX(OrdersYigaelIsrael[P&amp;L],1):OrdersYigaelIsrael[[#This Row],[P&amp;L]])</f>
        <v>55539.799916470045</v>
      </c>
    </row>
    <row r="17" spans="1:14" x14ac:dyDescent="0.25">
      <c r="A17" t="s">
        <v>17</v>
      </c>
      <c r="B17" s="1">
        <v>45292</v>
      </c>
      <c r="C17" s="1">
        <v>45351</v>
      </c>
      <c r="D17" t="str">
        <f>TEXT(OrdersYigaelIsrael[[#This Row],[Sell Date]],"yyyy-mm")</f>
        <v>2024-02</v>
      </c>
      <c r="E17" s="2">
        <v>2923.58</v>
      </c>
      <c r="F17" s="2">
        <v>2942.48</v>
      </c>
      <c r="G17" s="21">
        <v>25094</v>
      </c>
      <c r="H17">
        <f>OrdersYigaelIsrael[[#This Row],[Buy Price]]*OrdersYigaelIsrael[[#This Row],[Amount]]/100</f>
        <v>733643.16519999993</v>
      </c>
      <c r="I17">
        <f>OrdersYigaelIsrael[[#This Row],[Sell Price]]*OrdersYigaelIsrael[[#This Row],[Amount]]/100</f>
        <v>738385.93119999999</v>
      </c>
      <c r="J17">
        <f>(OrdersYigaelIsrael[[#This Row],[Buy Value]]+OrdersYigaelIsrael[[#This Row],[Sell Value]])*0.0007</f>
        <v>1030.4203674799999</v>
      </c>
      <c r="K17" s="19">
        <f>(OrdersYigaelIsrael[[#This Row],[Sell Value]]-OrdersYigaelIsrael[[#This Row],[Buy Value]]-OrdersYigaelIsrael[[#This Row],[Commission]]+OrdersYigaelIsrael[[#This Row],[Dividand]])/OrdersYigaelIsrael[[#This Row],[Buy Value]]</f>
        <v>5.0601515949624245E-3</v>
      </c>
      <c r="M17">
        <f>OrdersYigaelIsrael[[#This Row],[Sell Value]]-OrdersYigaelIsrael[[#This Row],[Buy Value]]+OrdersYigaelIsrael[[#This Row],[Dividand]]-OrdersYigaelIsrael[[#This Row],[Commission]]</f>
        <v>3712.3456325200614</v>
      </c>
      <c r="N17">
        <f>SUM(INDEX(OrdersYigaelIsrael[P&amp;L],1):OrdersYigaelIsrael[[#This Row],[P&amp;L]])</f>
        <v>59252.145548990105</v>
      </c>
    </row>
    <row r="18" spans="1:14" x14ac:dyDescent="0.25">
      <c r="A18" t="s">
        <v>21</v>
      </c>
      <c r="B18" s="1">
        <v>45294</v>
      </c>
      <c r="C18" s="1">
        <v>45351</v>
      </c>
      <c r="D18" t="str">
        <f>TEXT(OrdersYigaelIsrael[[#This Row],[Sell Date]],"yyyy-mm")</f>
        <v>2024-02</v>
      </c>
      <c r="E18" s="2">
        <v>3303.23</v>
      </c>
      <c r="F18" s="2">
        <v>3367</v>
      </c>
      <c r="G18" s="21">
        <v>4547</v>
      </c>
      <c r="H18">
        <f>OrdersYigaelIsrael[[#This Row],[Buy Price]]*OrdersYigaelIsrael[[#This Row],[Amount]]/100</f>
        <v>150197.86809999999</v>
      </c>
      <c r="I18">
        <f>OrdersYigaelIsrael[[#This Row],[Sell Price]]*OrdersYigaelIsrael[[#This Row],[Amount]]/100</f>
        <v>153097.49</v>
      </c>
      <c r="J18">
        <f>(OrdersYigaelIsrael[[#This Row],[Buy Value]]+OrdersYigaelIsrael[[#This Row],[Sell Value]])*0.0007</f>
        <v>212.30675066999996</v>
      </c>
      <c r="K18" s="19">
        <f>(OrdersYigaelIsrael[[#This Row],[Sell Value]]-OrdersYigaelIsrael[[#This Row],[Buy Value]]-OrdersYigaelIsrael[[#This Row],[Commission]]+OrdersYigaelIsrael[[#This Row],[Dividand]])/OrdersYigaelIsrael[[#This Row],[Buy Value]]</f>
        <v>1.7891832842399702E-2</v>
      </c>
      <c r="M18">
        <f>OrdersYigaelIsrael[[#This Row],[Sell Value]]-OrdersYigaelIsrael[[#This Row],[Buy Value]]+OrdersYigaelIsrael[[#This Row],[Dividand]]-OrdersYigaelIsrael[[#This Row],[Commission]]</f>
        <v>2687.3151493299983</v>
      </c>
      <c r="N18">
        <f>SUM(INDEX(OrdersYigaelIsrael[P&amp;L],1):OrdersYigaelIsrael[[#This Row],[P&amp;L]])</f>
        <v>61939.460698320101</v>
      </c>
    </row>
    <row r="19" spans="1:14" x14ac:dyDescent="0.25">
      <c r="A19" t="s">
        <v>17</v>
      </c>
      <c r="B19" s="1">
        <v>45354</v>
      </c>
      <c r="C19" s="1">
        <v>45377</v>
      </c>
      <c r="D19" t="str">
        <f>TEXT(OrdersYigaelIsrael[[#This Row],[Sell Date]],"yyyy-mm")</f>
        <v>2024-03</v>
      </c>
      <c r="E19" s="2">
        <v>3017.1559999999999</v>
      </c>
      <c r="F19" s="2">
        <v>3060.54</v>
      </c>
      <c r="G19" s="21">
        <v>13302</v>
      </c>
      <c r="H19">
        <f>OrdersYigaelIsrael[[#This Row],[Buy Price]]*OrdersYigaelIsrael[[#This Row],[Amount]]/100</f>
        <v>401342.09111999994</v>
      </c>
      <c r="I19">
        <f>OrdersYigaelIsrael[[#This Row],[Sell Price]]*OrdersYigaelIsrael[[#This Row],[Amount]]/100</f>
        <v>407113.03080000001</v>
      </c>
      <c r="J19">
        <f>(OrdersYigaelIsrael[[#This Row],[Buy Value]]+OrdersYigaelIsrael[[#This Row],[Sell Value]])*0.0007</f>
        <v>565.91858534400001</v>
      </c>
      <c r="K19" s="19">
        <f>(OrdersYigaelIsrael[[#This Row],[Sell Value]]-OrdersYigaelIsrael[[#This Row],[Buy Value]]-OrdersYigaelIsrael[[#This Row],[Commission]]+OrdersYigaelIsrael[[#This Row],[Dividand]])/OrdersYigaelIsrael[[#This Row],[Buy Value]]</f>
        <v>1.2969038657596929E-2</v>
      </c>
      <c r="M19">
        <f>OrdersYigaelIsrael[[#This Row],[Sell Value]]-OrdersYigaelIsrael[[#This Row],[Buy Value]]+OrdersYigaelIsrael[[#This Row],[Dividand]]-OrdersYigaelIsrael[[#This Row],[Commission]]</f>
        <v>5205.0210946560683</v>
      </c>
      <c r="N19">
        <f>SUM(INDEX(OrdersYigaelIsrael[P&amp;L],1):OrdersYigaelIsrael[[#This Row],[P&amp;L]])</f>
        <v>67144.481792976163</v>
      </c>
    </row>
    <row r="20" spans="1:14" x14ac:dyDescent="0.25">
      <c r="A20" t="s">
        <v>27</v>
      </c>
      <c r="B20" s="1">
        <v>45354</v>
      </c>
      <c r="C20" s="1">
        <v>45382</v>
      </c>
      <c r="D20" t="str">
        <f>TEXT(OrdersYigaelIsrael[[#This Row],[Sell Date]],"yyyy-mm")</f>
        <v>2024-03</v>
      </c>
      <c r="E20" s="2">
        <v>3457.1529999999998</v>
      </c>
      <c r="F20" s="2">
        <v>3491</v>
      </c>
      <c r="G20" s="21">
        <v>8683</v>
      </c>
      <c r="H20">
        <f>OrdersYigaelIsrael[[#This Row],[Buy Price]]*OrdersYigaelIsrael[[#This Row],[Amount]]/100</f>
        <v>300184.59498999995</v>
      </c>
      <c r="I20">
        <f>OrdersYigaelIsrael[[#This Row],[Sell Price]]*OrdersYigaelIsrael[[#This Row],[Amount]]/100</f>
        <v>303123.53000000003</v>
      </c>
      <c r="J20">
        <f>(OrdersYigaelIsrael[[#This Row],[Buy Value]]+OrdersYigaelIsrael[[#This Row],[Sell Value]])*0.0007</f>
        <v>422.31568749299993</v>
      </c>
      <c r="K20" s="19">
        <f>(OrdersYigaelIsrael[[#This Row],[Sell Value]]-OrdersYigaelIsrael[[#This Row],[Buy Value]]-OrdersYigaelIsrael[[#This Row],[Commission]]+OrdersYigaelIsrael[[#This Row],[Dividand]])/OrdersYigaelIsrael[[#This Row],[Buy Value]]</f>
        <v>1.4093392509525708E-2</v>
      </c>
      <c r="L20">
        <v>1714</v>
      </c>
      <c r="M20">
        <f>OrdersYigaelIsrael[[#This Row],[Sell Value]]-OrdersYigaelIsrael[[#This Row],[Buy Value]]+OrdersYigaelIsrael[[#This Row],[Dividand]]-OrdersYigaelIsrael[[#This Row],[Commission]]</f>
        <v>4230.6193225070738</v>
      </c>
      <c r="N20">
        <f>SUM(INDEX(OrdersYigaelIsrael[P&amp;L],1):OrdersYigaelIsrael[[#This Row],[P&amp;L]])</f>
        <v>71375.101115483238</v>
      </c>
    </row>
    <row r="21" spans="1:14" x14ac:dyDescent="0.25">
      <c r="A21" t="s">
        <v>28</v>
      </c>
      <c r="B21" s="1">
        <v>45378</v>
      </c>
      <c r="C21" s="1">
        <v>45498</v>
      </c>
      <c r="D21" t="str">
        <f>TEXT(OrdersYigaelIsrael[[#This Row],[Sell Date]],"yyyy-mm")</f>
        <v>2024-07</v>
      </c>
      <c r="E21" s="2">
        <v>38650.923000000003</v>
      </c>
      <c r="F21" s="2">
        <v>37701.54</v>
      </c>
      <c r="G21" s="21">
        <v>260</v>
      </c>
      <c r="H21">
        <f>OrdersYigaelIsrael[[#This Row],[Buy Price]]*OrdersYigaelIsrael[[#This Row],[Amount]]/100</f>
        <v>100492.3998</v>
      </c>
      <c r="I21">
        <f>OrdersYigaelIsrael[[#This Row],[Sell Price]]*OrdersYigaelIsrael[[#This Row],[Amount]]/100</f>
        <v>98024.004000000001</v>
      </c>
      <c r="J21">
        <f>(OrdersYigaelIsrael[[#This Row],[Buy Value]]+OrdersYigaelIsrael[[#This Row],[Sell Value]])*0.0007</f>
        <v>138.96148266</v>
      </c>
      <c r="K21" s="19">
        <f>(OrdersYigaelIsrael[[#This Row],[Sell Value]]-OrdersYigaelIsrael[[#This Row],[Buy Value]]-OrdersYigaelIsrael[[#This Row],[Commission]]+OrdersYigaelIsrael[[#This Row],[Dividand]])/OrdersYigaelIsrael[[#This Row],[Buy Value]]</f>
        <v>-2.594581568207309E-2</v>
      </c>
      <c r="M21">
        <f>OrdersYigaelIsrael[[#This Row],[Sell Value]]-OrdersYigaelIsrael[[#This Row],[Buy Value]]+OrdersYigaelIsrael[[#This Row],[Dividand]]-OrdersYigaelIsrael[[#This Row],[Commission]]</f>
        <v>-2607.3572826599984</v>
      </c>
      <c r="N21">
        <f>SUM(INDEX(OrdersYigaelIsrael[P&amp;L],1):OrdersYigaelIsrael[[#This Row],[P&amp;L]])</f>
        <v>68767.743832823238</v>
      </c>
    </row>
    <row r="22" spans="1:14" x14ac:dyDescent="0.25">
      <c r="A22" t="s">
        <v>29</v>
      </c>
      <c r="B22" s="1">
        <v>45378</v>
      </c>
      <c r="C22" s="1">
        <v>45498</v>
      </c>
      <c r="D22" t="str">
        <f>TEXT(OrdersYigaelIsrael[[#This Row],[Sell Date]],"yyyy-mm")</f>
        <v>2024-07</v>
      </c>
      <c r="E22" s="2">
        <v>2618.5230000000001</v>
      </c>
      <c r="F22" s="2">
        <v>2630</v>
      </c>
      <c r="G22" s="21">
        <v>3843</v>
      </c>
      <c r="H22">
        <f>OrdersYigaelIsrael[[#This Row],[Buy Price]]*OrdersYigaelIsrael[[#This Row],[Amount]]/100</f>
        <v>100629.83889</v>
      </c>
      <c r="I22">
        <f>OrdersYigaelIsrael[[#This Row],[Sell Price]]*OrdersYigaelIsrael[[#This Row],[Amount]]/100</f>
        <v>101070.9</v>
      </c>
      <c r="J22">
        <f>(OrdersYigaelIsrael[[#This Row],[Buy Value]]+OrdersYigaelIsrael[[#This Row],[Sell Value]])*0.0007</f>
        <v>141.19051722299997</v>
      </c>
      <c r="K22" s="19">
        <f>(OrdersYigaelIsrael[[#This Row],[Sell Value]]-OrdersYigaelIsrael[[#This Row],[Buy Value]]-OrdersYigaelIsrael[[#This Row],[Commission]]+OrdersYigaelIsrael[[#This Row],[Dividand]])/OrdersYigaelIsrael[[#This Row],[Buy Value]]</f>
        <v>2.9799371248600348E-3</v>
      </c>
      <c r="M22">
        <f>OrdersYigaelIsrael[[#This Row],[Sell Value]]-OrdersYigaelIsrael[[#This Row],[Buy Value]]+OrdersYigaelIsrael[[#This Row],[Dividand]]-OrdersYigaelIsrael[[#This Row],[Commission]]</f>
        <v>299.87059277699512</v>
      </c>
      <c r="N22">
        <f>SUM(INDEX(OrdersYigaelIsrael[P&amp;L],1):OrdersYigaelIsrael[[#This Row],[P&amp;L]])</f>
        <v>69067.61442560023</v>
      </c>
    </row>
    <row r="23" spans="1:14" x14ac:dyDescent="0.25">
      <c r="A23" t="s">
        <v>17</v>
      </c>
      <c r="B23" s="1">
        <v>45511</v>
      </c>
      <c r="C23" s="1">
        <v>45512</v>
      </c>
      <c r="D23" t="str">
        <f>TEXT(OrdersYigaelIsrael[[#This Row],[Sell Date]],"yyyy-mm")</f>
        <v>2024-08</v>
      </c>
      <c r="E23" s="2">
        <v>3214</v>
      </c>
      <c r="F23" s="2">
        <v>3266</v>
      </c>
      <c r="G23" s="21">
        <v>6222</v>
      </c>
      <c r="H23">
        <f>OrdersYigaelIsrael[[#This Row],[Buy Price]]*OrdersYigaelIsrael[[#This Row],[Amount]]/100</f>
        <v>199975.08</v>
      </c>
      <c r="I23">
        <f>OrdersYigaelIsrael[[#This Row],[Sell Price]]*OrdersYigaelIsrael[[#This Row],[Amount]]/100</f>
        <v>203210.52</v>
      </c>
      <c r="J23">
        <f>(OrdersYigaelIsrael[[#This Row],[Buy Value]]+OrdersYigaelIsrael[[#This Row],[Sell Value]])*0.0007</f>
        <v>282.22991999999999</v>
      </c>
      <c r="K23" s="19">
        <f>(OrdersYigaelIsrael[[#This Row],[Sell Value]]-OrdersYigaelIsrael[[#This Row],[Buy Value]]-OrdersYigaelIsrael[[#This Row],[Commission]]+OrdersYigaelIsrael[[#This Row],[Dividand]])/OrdersYigaelIsrael[[#This Row],[Buy Value]]</f>
        <v>1.4767890479153715E-2</v>
      </c>
      <c r="M23">
        <f>OrdersYigaelIsrael[[#This Row],[Sell Value]]-OrdersYigaelIsrael[[#This Row],[Buy Value]]+OrdersYigaelIsrael[[#This Row],[Dividand]]-OrdersYigaelIsrael[[#This Row],[Commission]]</f>
        <v>2953.2100800000026</v>
      </c>
      <c r="N23">
        <f>SUM(INDEX(OrdersYigaelIsrael[P&amp;L],1):OrdersYigaelIsrael[[#This Row],[P&amp;L]])</f>
        <v>72020.824505600234</v>
      </c>
    </row>
    <row r="24" spans="1:14" x14ac:dyDescent="0.25">
      <c r="A24" t="s">
        <v>30</v>
      </c>
      <c r="B24" s="1">
        <v>45354</v>
      </c>
      <c r="C24" s="1">
        <v>45518</v>
      </c>
      <c r="D24" t="str">
        <f>TEXT(OrdersYigaelIsrael[[#This Row],[Sell Date]],"yyyy-mm")</f>
        <v>2024-08</v>
      </c>
      <c r="E24" s="2">
        <v>14095.692999999999</v>
      </c>
      <c r="F24" s="2">
        <v>13840</v>
      </c>
      <c r="G24" s="21">
        <v>2561</v>
      </c>
      <c r="H24">
        <f>OrdersYigaelIsrael[[#This Row],[Buy Price]]*OrdersYigaelIsrael[[#This Row],[Amount]]/100</f>
        <v>360990.69773000001</v>
      </c>
      <c r="I24">
        <f>OrdersYigaelIsrael[[#This Row],[Sell Price]]*OrdersYigaelIsrael[[#This Row],[Amount]]/100</f>
        <v>354442.4</v>
      </c>
      <c r="J24">
        <f>(OrdersYigaelIsrael[[#This Row],[Buy Value]]+OrdersYigaelIsrael[[#This Row],[Sell Value]])*0.0007</f>
        <v>500.803168411</v>
      </c>
      <c r="K24" s="19">
        <f>(OrdersYigaelIsrael[[#This Row],[Sell Value]]-OrdersYigaelIsrael[[#This Row],[Buy Value]]-OrdersYigaelIsrael[[#This Row],[Commission]]+OrdersYigaelIsrael[[#This Row],[Dividand]])/OrdersYigaelIsrael[[#This Row],[Buy Value]]</f>
        <v>-1.5964818303217033E-2</v>
      </c>
      <c r="L24" s="18">
        <v>1285.95</v>
      </c>
      <c r="M24">
        <f>OrdersYigaelIsrael[[#This Row],[Sell Value]]-OrdersYigaelIsrael[[#This Row],[Buy Value]]+OrdersYigaelIsrael[[#This Row],[Dividand]]-OrdersYigaelIsrael[[#This Row],[Commission]]</f>
        <v>-5763.1508984109914</v>
      </c>
      <c r="N24">
        <f>SUM(INDEX(OrdersYigaelIsrael[P&amp;L],1):OrdersYigaelIsrael[[#This Row],[P&amp;L]])</f>
        <v>66257.673607189237</v>
      </c>
    </row>
    <row r="25" spans="1:14" x14ac:dyDescent="0.25">
      <c r="A25" t="s">
        <v>31</v>
      </c>
      <c r="B25" s="1">
        <v>45378</v>
      </c>
      <c r="C25" s="1">
        <v>45518</v>
      </c>
      <c r="D25" t="str">
        <f>TEXT(OrdersYigaelIsrael[[#This Row],[Sell Date]],"yyyy-mm")</f>
        <v>2024-08</v>
      </c>
      <c r="E25" s="2">
        <v>2488.7460000000001</v>
      </c>
      <c r="F25" s="2">
        <v>1865</v>
      </c>
      <c r="G25" s="21">
        <v>8089</v>
      </c>
      <c r="H25">
        <f>OrdersYigaelIsrael[[#This Row],[Buy Price]]*OrdersYigaelIsrael[[#This Row],[Amount]]/100</f>
        <v>201314.66394</v>
      </c>
      <c r="I25">
        <f>OrdersYigaelIsrael[[#This Row],[Sell Price]]*OrdersYigaelIsrael[[#This Row],[Amount]]/100</f>
        <v>150859.85</v>
      </c>
      <c r="J25">
        <f>(OrdersYigaelIsrael[[#This Row],[Buy Value]]+OrdersYigaelIsrael[[#This Row],[Sell Value]])*0.0007</f>
        <v>246.52215975799999</v>
      </c>
      <c r="K25" s="19">
        <f>(OrdersYigaelIsrael[[#This Row],[Sell Value]]-OrdersYigaelIsrael[[#This Row],[Buy Value]]-OrdersYigaelIsrael[[#This Row],[Commission]]+OrdersYigaelIsrael[[#This Row],[Dividand]])/OrdersYigaelIsrael[[#This Row],[Buy Value]]</f>
        <v>-0.25185118216161873</v>
      </c>
      <c r="M25">
        <f>OrdersYigaelIsrael[[#This Row],[Sell Value]]-OrdersYigaelIsrael[[#This Row],[Buy Value]]+OrdersYigaelIsrael[[#This Row],[Dividand]]-OrdersYigaelIsrael[[#This Row],[Commission]]</f>
        <v>-50701.336099757995</v>
      </c>
      <c r="N25">
        <f>SUM(INDEX(OrdersYigaelIsrael[P&amp;L],1):OrdersYigaelIsrael[[#This Row],[P&amp;L]])</f>
        <v>15556.337507431243</v>
      </c>
    </row>
    <row r="26" spans="1:14" x14ac:dyDescent="0.25">
      <c r="A26" t="s">
        <v>16</v>
      </c>
      <c r="B26" s="1">
        <v>45382</v>
      </c>
      <c r="C26" s="1">
        <v>45518</v>
      </c>
      <c r="D26" t="str">
        <f>TEXT(OrdersYigaelIsrael[[#This Row],[Sell Date]],"yyyy-mm")</f>
        <v>2024-08</v>
      </c>
      <c r="E26" s="2">
        <v>48417.762000000002</v>
      </c>
      <c r="F26" s="2">
        <v>39620</v>
      </c>
      <c r="G26" s="21">
        <v>621</v>
      </c>
      <c r="H26">
        <f>OrdersYigaelIsrael[[#This Row],[Buy Price]]*OrdersYigaelIsrael[[#This Row],[Amount]]/100</f>
        <v>300674.30202000006</v>
      </c>
      <c r="I26">
        <f>OrdersYigaelIsrael[[#This Row],[Sell Price]]*OrdersYigaelIsrael[[#This Row],[Amount]]/100</f>
        <v>246040.2</v>
      </c>
      <c r="J26">
        <f>(OrdersYigaelIsrael[[#This Row],[Buy Value]]+OrdersYigaelIsrael[[#This Row],[Sell Value]])*0.0007</f>
        <v>382.700151414</v>
      </c>
      <c r="K26" s="19">
        <f>(OrdersYigaelIsrael[[#This Row],[Sell Value]]-OrdersYigaelIsrael[[#This Row],[Buy Value]]-OrdersYigaelIsrael[[#This Row],[Commission]]+OrdersYigaelIsrael[[#This Row],[Dividand]])/OrdersYigaelIsrael[[#This Row],[Buy Value]]</f>
        <v>-0.18297806564045663</v>
      </c>
      <c r="M26">
        <f>OrdersYigaelIsrael[[#This Row],[Sell Value]]-OrdersYigaelIsrael[[#This Row],[Buy Value]]+OrdersYigaelIsrael[[#This Row],[Dividand]]-OrdersYigaelIsrael[[#This Row],[Commission]]</f>
        <v>-55016.802171414049</v>
      </c>
      <c r="N26">
        <f>SUM(INDEX(OrdersYigaelIsrael[P&amp;L],1):OrdersYigaelIsrael[[#This Row],[P&amp;L]])</f>
        <v>-39460.464663982806</v>
      </c>
    </row>
    <row r="27" spans="1:14" x14ac:dyDescent="0.25">
      <c r="A27" t="s">
        <v>32</v>
      </c>
      <c r="B27" s="1">
        <v>45516</v>
      </c>
      <c r="C27" s="1">
        <v>45518</v>
      </c>
      <c r="D27" t="str">
        <f>TEXT(OrdersYigaelIsrael[[#This Row],[Sell Date]],"yyyy-mm")</f>
        <v>2024-08</v>
      </c>
      <c r="E27" s="2">
        <v>14720</v>
      </c>
      <c r="F27" s="2">
        <v>14990</v>
      </c>
      <c r="G27" s="21">
        <v>679</v>
      </c>
      <c r="H27">
        <f>OrdersYigaelIsrael[[#This Row],[Buy Price]]*OrdersYigaelIsrael[[#This Row],[Amount]]/100</f>
        <v>99948.800000000003</v>
      </c>
      <c r="I27">
        <f>OrdersYigaelIsrael[[#This Row],[Sell Price]]*OrdersYigaelIsrael[[#This Row],[Amount]]/100</f>
        <v>101782.1</v>
      </c>
      <c r="J27">
        <f>(OrdersYigaelIsrael[[#This Row],[Buy Value]]+OrdersYigaelIsrael[[#This Row],[Sell Value]])*0.0007</f>
        <v>141.21163000000001</v>
      </c>
      <c r="K27" s="19">
        <f>(OrdersYigaelIsrael[[#This Row],[Sell Value]]-OrdersYigaelIsrael[[#This Row],[Buy Value]]-OrdersYigaelIsrael[[#This Row],[Commission]]+OrdersYigaelIsrael[[#This Row],[Dividand]])/OrdersYigaelIsrael[[#This Row],[Buy Value]]</f>
        <v>1.692955163043481E-2</v>
      </c>
      <c r="M27">
        <f>OrdersYigaelIsrael[[#This Row],[Sell Value]]-OrdersYigaelIsrael[[#This Row],[Buy Value]]+OrdersYigaelIsrael[[#This Row],[Dividand]]-OrdersYigaelIsrael[[#This Row],[Commission]]</f>
        <v>1692.0883700000029</v>
      </c>
      <c r="N27">
        <f>SUM(INDEX(OrdersYigaelIsrael[P&amp;L],1):OrdersYigaelIsrael[[#This Row],[P&amp;L]])</f>
        <v>-37768.376293982801</v>
      </c>
    </row>
    <row r="28" spans="1:14" x14ac:dyDescent="0.25">
      <c r="A28" t="s">
        <v>17</v>
      </c>
      <c r="B28" s="1">
        <v>45516</v>
      </c>
      <c r="C28" s="1">
        <v>45518</v>
      </c>
      <c r="D28" t="str">
        <f>TEXT(OrdersYigaelIsrael[[#This Row],[Sell Date]],"yyyy-mm")</f>
        <v>2024-08</v>
      </c>
      <c r="E28" s="2">
        <v>3278</v>
      </c>
      <c r="F28" s="2">
        <v>3384</v>
      </c>
      <c r="G28" s="21">
        <v>3042</v>
      </c>
      <c r="H28">
        <f>OrdersYigaelIsrael[[#This Row],[Buy Price]]*OrdersYigaelIsrael[[#This Row],[Amount]]/100</f>
        <v>99716.76</v>
      </c>
      <c r="I28">
        <f>OrdersYigaelIsrael[[#This Row],[Sell Price]]*OrdersYigaelIsrael[[#This Row],[Amount]]/100</f>
        <v>102941.28</v>
      </c>
      <c r="J28">
        <f>(OrdersYigaelIsrael[[#This Row],[Buy Value]]+OrdersYigaelIsrael[[#This Row],[Sell Value]])*0.0007</f>
        <v>141.86062799999999</v>
      </c>
      <c r="K28" s="19">
        <f>(OrdersYigaelIsrael[[#This Row],[Sell Value]]-OrdersYigaelIsrael[[#This Row],[Buy Value]]-OrdersYigaelIsrael[[#This Row],[Commission]]+OrdersYigaelIsrael[[#This Row],[Dividand]])/OrdersYigaelIsrael[[#This Row],[Buy Value]]</f>
        <v>3.0914154972544277E-2</v>
      </c>
      <c r="M28">
        <f>OrdersYigaelIsrael[[#This Row],[Sell Value]]-OrdersYigaelIsrael[[#This Row],[Buy Value]]+OrdersYigaelIsrael[[#This Row],[Dividand]]-OrdersYigaelIsrael[[#This Row],[Commission]]</f>
        <v>3082.6593720000042</v>
      </c>
      <c r="N28">
        <f>SUM(INDEX(OrdersYigaelIsrael[P&amp;L],1):OrdersYigaelIsrael[[#This Row],[P&amp;L]])</f>
        <v>-34685.716921982799</v>
      </c>
    </row>
    <row r="29" spans="1:14" x14ac:dyDescent="0.25">
      <c r="A29" t="s">
        <v>30</v>
      </c>
      <c r="B29" s="1">
        <v>45523</v>
      </c>
      <c r="C29" s="1">
        <v>45529</v>
      </c>
      <c r="D29" t="str">
        <f>TEXT(OrdersYigaelIsrael[[#This Row],[Sell Date]],"yyyy-mm")</f>
        <v>2024-08</v>
      </c>
      <c r="E29" s="2">
        <v>13800</v>
      </c>
      <c r="F29" s="2">
        <v>13800</v>
      </c>
      <c r="G29" s="21">
        <v>2904</v>
      </c>
      <c r="H29">
        <f>OrdersYigaelIsrael[[#This Row],[Buy Price]]*OrdersYigaelIsrael[[#This Row],[Amount]]/100</f>
        <v>400752</v>
      </c>
      <c r="I29">
        <f>OrdersYigaelIsrael[[#This Row],[Sell Price]]*OrdersYigaelIsrael[[#This Row],[Amount]]/100</f>
        <v>400752</v>
      </c>
      <c r="J29">
        <f>(OrdersYigaelIsrael[[#This Row],[Buy Value]]+OrdersYigaelIsrael[[#This Row],[Sell Value]])*0.0007</f>
        <v>561.05280000000005</v>
      </c>
      <c r="K29" s="19">
        <f>(OrdersYigaelIsrael[[#This Row],[Sell Value]]-OrdersYigaelIsrael[[#This Row],[Buy Value]]-OrdersYigaelIsrael[[#This Row],[Commission]]+OrdersYigaelIsrael[[#This Row],[Dividand]])/OrdersYigaelIsrael[[#This Row],[Buy Value]]</f>
        <v>1.0818853555316003E-2</v>
      </c>
      <c r="L29" s="18">
        <v>4896.7299999999996</v>
      </c>
      <c r="M29">
        <f>OrdersYigaelIsrael[[#This Row],[Sell Value]]-OrdersYigaelIsrael[[#This Row],[Buy Value]]+OrdersYigaelIsrael[[#This Row],[Dividand]]-OrdersYigaelIsrael[[#This Row],[Commission]]</f>
        <v>4335.6771999999992</v>
      </c>
      <c r="N29">
        <f>SUM(INDEX(OrdersYigaelIsrael[P&amp;L],1):OrdersYigaelIsrael[[#This Row],[P&amp;L]])</f>
        <v>-30350.039721982801</v>
      </c>
    </row>
    <row r="30" spans="1:14" x14ac:dyDescent="0.25">
      <c r="A30" t="s">
        <v>23</v>
      </c>
      <c r="B30" s="1">
        <v>45523</v>
      </c>
      <c r="C30" s="1">
        <v>45532</v>
      </c>
      <c r="D30" t="str">
        <f>TEXT(OrdersYigaelIsrael[[#This Row],[Sell Date]],"yyyy-mm")</f>
        <v>2024-08</v>
      </c>
      <c r="E30" s="2">
        <v>1980</v>
      </c>
      <c r="F30" s="2">
        <v>1970</v>
      </c>
      <c r="G30" s="21">
        <v>7575</v>
      </c>
      <c r="H30">
        <f>OrdersYigaelIsrael[[#This Row],[Buy Price]]*OrdersYigaelIsrael[[#This Row],[Amount]]/100</f>
        <v>149985</v>
      </c>
      <c r="I30">
        <f>OrdersYigaelIsrael[[#This Row],[Sell Price]]*OrdersYigaelIsrael[[#This Row],[Amount]]/100</f>
        <v>149227.5</v>
      </c>
      <c r="J30">
        <f>(OrdersYigaelIsrael[[#This Row],[Buy Value]]+OrdersYigaelIsrael[[#This Row],[Sell Value]])*0.0007</f>
        <v>209.44874999999999</v>
      </c>
      <c r="K30" s="19">
        <f>(OrdersYigaelIsrael[[#This Row],[Sell Value]]-OrdersYigaelIsrael[[#This Row],[Buy Value]]-OrdersYigaelIsrael[[#This Row],[Commission]]+OrdersYigaelIsrael[[#This Row],[Dividand]])/OrdersYigaelIsrael[[#This Row],[Buy Value]]</f>
        <v>3.1473230656398972E-3</v>
      </c>
      <c r="L30">
        <v>1439</v>
      </c>
      <c r="M30">
        <f>OrdersYigaelIsrael[[#This Row],[Sell Value]]-OrdersYigaelIsrael[[#This Row],[Buy Value]]+OrdersYigaelIsrael[[#This Row],[Dividand]]-OrdersYigaelIsrael[[#This Row],[Commission]]</f>
        <v>472.05124999999998</v>
      </c>
      <c r="N30">
        <f>SUM(INDEX(OrdersYigaelIsrael[P&amp;L],1):OrdersYigaelIsrael[[#This Row],[P&amp;L]])</f>
        <v>-29877.988471982801</v>
      </c>
    </row>
    <row r="31" spans="1:14" x14ac:dyDescent="0.25">
      <c r="A31" t="s">
        <v>21</v>
      </c>
      <c r="B31" s="1">
        <v>45523</v>
      </c>
      <c r="C31" s="1">
        <v>45532</v>
      </c>
      <c r="D31" t="str">
        <f>TEXT(OrdersYigaelIsrael[[#This Row],[Sell Date]],"yyyy-mm")</f>
        <v>2024-08</v>
      </c>
      <c r="E31" s="2">
        <v>3650</v>
      </c>
      <c r="F31" s="2">
        <v>3569</v>
      </c>
      <c r="G31" s="21">
        <v>9243</v>
      </c>
      <c r="H31">
        <f>OrdersYigaelIsrael[[#This Row],[Buy Price]]*OrdersYigaelIsrael[[#This Row],[Amount]]/100</f>
        <v>337369.5</v>
      </c>
      <c r="I31">
        <f>OrdersYigaelIsrael[[#This Row],[Sell Price]]*OrdersYigaelIsrael[[#This Row],[Amount]]/100</f>
        <v>329882.67</v>
      </c>
      <c r="J31">
        <f>(OrdersYigaelIsrael[[#This Row],[Buy Value]]+OrdersYigaelIsrael[[#This Row],[Sell Value]])*0.0007</f>
        <v>467.07651899999996</v>
      </c>
      <c r="K31" s="19">
        <f>(OrdersYigaelIsrael[[#This Row],[Sell Value]]-OrdersYigaelIsrael[[#This Row],[Buy Value]]-OrdersYigaelIsrael[[#This Row],[Commission]]+OrdersYigaelIsrael[[#This Row],[Dividand]])/OrdersYigaelIsrael[[#This Row],[Buy Value]]</f>
        <v>-1.1613102307707178E-2</v>
      </c>
      <c r="L31">
        <v>4036</v>
      </c>
      <c r="M31">
        <f>OrdersYigaelIsrael[[#This Row],[Sell Value]]-OrdersYigaelIsrael[[#This Row],[Buy Value]]+OrdersYigaelIsrael[[#This Row],[Dividand]]-OrdersYigaelIsrael[[#This Row],[Commission]]</f>
        <v>-3917.9065190000165</v>
      </c>
      <c r="N31">
        <f>SUM(INDEX(OrdersYigaelIsrael[P&amp;L],1):OrdersYigaelIsrael[[#This Row],[P&amp;L]])</f>
        <v>-33795.894990982815</v>
      </c>
    </row>
    <row r="32" spans="1:14" x14ac:dyDescent="0.25">
      <c r="A32" t="s">
        <v>17</v>
      </c>
      <c r="B32" s="1">
        <v>45529</v>
      </c>
      <c r="C32" s="1">
        <v>45532</v>
      </c>
      <c r="D32" t="str">
        <f>TEXT(OrdersYigaelIsrael[[#This Row],[Sell Date]],"yyyy-mm")</f>
        <v>2024-08</v>
      </c>
      <c r="E32" s="2">
        <v>3510</v>
      </c>
      <c r="F32" s="2">
        <v>3425</v>
      </c>
      <c r="G32" s="21">
        <v>11396</v>
      </c>
      <c r="H32">
        <f>OrdersYigaelIsrael[[#This Row],[Buy Price]]*OrdersYigaelIsrael[[#This Row],[Amount]]/100</f>
        <v>399999.6</v>
      </c>
      <c r="I32">
        <f>OrdersYigaelIsrael[[#This Row],[Sell Price]]*OrdersYigaelIsrael[[#This Row],[Amount]]/100</f>
        <v>390313</v>
      </c>
      <c r="J32">
        <f>(OrdersYigaelIsrael[[#This Row],[Buy Value]]+OrdersYigaelIsrael[[#This Row],[Sell Value]])*0.0007</f>
        <v>553.21881999999994</v>
      </c>
      <c r="K32" s="19">
        <f>(OrdersYigaelIsrael[[#This Row],[Sell Value]]-OrdersYigaelIsrael[[#This Row],[Buy Value]]-OrdersYigaelIsrael[[#This Row],[Commission]]+OrdersYigaelIsrael[[#This Row],[Dividand]])/OrdersYigaelIsrael[[#This Row],[Buy Value]]</f>
        <v>-2.5599572649572595E-2</v>
      </c>
      <c r="M32">
        <f>OrdersYigaelIsrael[[#This Row],[Sell Value]]-OrdersYigaelIsrael[[#This Row],[Buy Value]]+OrdersYigaelIsrael[[#This Row],[Dividand]]-OrdersYigaelIsrael[[#This Row],[Commission]]</f>
        <v>-10239.818819999977</v>
      </c>
      <c r="N32">
        <f>SUM(INDEX(OrdersYigaelIsrael[P&amp;L],1):OrdersYigaelIsrael[[#This Row],[P&amp;L]])</f>
        <v>-44035.713810982794</v>
      </c>
    </row>
    <row r="33" spans="1:14" x14ac:dyDescent="0.25">
      <c r="A33" t="s">
        <v>33</v>
      </c>
      <c r="B33" s="1">
        <v>45532</v>
      </c>
      <c r="C33" s="1">
        <v>45536</v>
      </c>
      <c r="D33" t="str">
        <f>TEXT(OrdersYigaelIsrael[[#This Row],[Sell Date]],"yyyy-mm")</f>
        <v>2024-09</v>
      </c>
      <c r="E33" s="2">
        <v>21068.65</v>
      </c>
      <c r="F33" s="2">
        <v>20511</v>
      </c>
      <c r="G33" s="21">
        <v>947</v>
      </c>
      <c r="H33">
        <f>OrdersYigaelIsrael[[#This Row],[Buy Price]]*OrdersYigaelIsrael[[#This Row],[Amount]]/100</f>
        <v>199520.11550000001</v>
      </c>
      <c r="I33">
        <f>OrdersYigaelIsrael[[#This Row],[Sell Price]]*OrdersYigaelIsrael[[#This Row],[Amount]]/100</f>
        <v>194239.17</v>
      </c>
      <c r="J33">
        <f>(OrdersYigaelIsrael[[#This Row],[Buy Value]]+OrdersYigaelIsrael[[#This Row],[Sell Value]])*0.0007</f>
        <v>275.63149985000001</v>
      </c>
      <c r="K33" s="19">
        <f>(OrdersYigaelIsrael[[#This Row],[Sell Value]]-OrdersYigaelIsrael[[#This Row],[Buy Value]]-OrdersYigaelIsrael[[#This Row],[Commission]]+OrdersYigaelIsrael[[#This Row],[Dividand]])/OrdersYigaelIsrael[[#This Row],[Buy Value]]</f>
        <v>-1.2347511897114964E-2</v>
      </c>
      <c r="L33">
        <v>3093</v>
      </c>
      <c r="M33">
        <f>OrdersYigaelIsrael[[#This Row],[Sell Value]]-OrdersYigaelIsrael[[#This Row],[Buy Value]]+OrdersYigaelIsrael[[#This Row],[Dividand]]-OrdersYigaelIsrael[[#This Row],[Commission]]</f>
        <v>-2463.5769998500018</v>
      </c>
      <c r="N33">
        <f>SUM(INDEX(OrdersYigaelIsrael[P&amp;L],1):OrdersYigaelIsrael[[#This Row],[P&amp;L]])</f>
        <v>-46499.290810832797</v>
      </c>
    </row>
    <row r="34" spans="1:14" x14ac:dyDescent="0.25">
      <c r="A34" t="s">
        <v>16</v>
      </c>
      <c r="B34" s="1">
        <v>45532</v>
      </c>
      <c r="C34" s="1">
        <v>45537</v>
      </c>
      <c r="D34" t="str">
        <f>TEXT(OrdersYigaelIsrael[[#This Row],[Sell Date]],"yyyy-mm")</f>
        <v>2024-09</v>
      </c>
      <c r="E34" s="2">
        <v>43400</v>
      </c>
      <c r="F34" s="2">
        <v>41517.339999999997</v>
      </c>
      <c r="G34" s="21">
        <v>928</v>
      </c>
      <c r="H34">
        <f>OrdersYigaelIsrael[[#This Row],[Buy Price]]*OrdersYigaelIsrael[[#This Row],[Amount]]/100</f>
        <v>402752</v>
      </c>
      <c r="I34">
        <f>OrdersYigaelIsrael[[#This Row],[Sell Price]]*OrdersYigaelIsrael[[#This Row],[Amount]]/100</f>
        <v>385280.91519999993</v>
      </c>
      <c r="J34">
        <f>(OrdersYigaelIsrael[[#This Row],[Buy Value]]+OrdersYigaelIsrael[[#This Row],[Sell Value]])*0.0007</f>
        <v>551.62304064</v>
      </c>
      <c r="K34" s="19">
        <f>(OrdersYigaelIsrael[[#This Row],[Sell Value]]-OrdersYigaelIsrael[[#This Row],[Buy Value]]-OrdersYigaelIsrael[[#This Row],[Commission]]+OrdersYigaelIsrael[[#This Row],[Dividand]])/OrdersYigaelIsrael[[#This Row],[Buy Value]]</f>
        <v>-2.4297105515652482E-2</v>
      </c>
      <c r="L34">
        <v>8237</v>
      </c>
      <c r="M34">
        <f>OrdersYigaelIsrael[[#This Row],[Sell Value]]-OrdersYigaelIsrael[[#This Row],[Buy Value]]+OrdersYigaelIsrael[[#This Row],[Dividand]]-OrdersYigaelIsrael[[#This Row],[Commission]]</f>
        <v>-9785.7078406400688</v>
      </c>
      <c r="N34">
        <f>SUM(INDEX(OrdersYigaelIsrael[P&amp;L],1):OrdersYigaelIsrael[[#This Row],[P&amp;L]])</f>
        <v>-56284.998651472866</v>
      </c>
    </row>
    <row r="35" spans="1:14" x14ac:dyDescent="0.25">
      <c r="A35" t="s">
        <v>34</v>
      </c>
      <c r="B35" s="1">
        <v>45537</v>
      </c>
      <c r="C35" s="1">
        <v>45540</v>
      </c>
      <c r="D35" t="str">
        <f>TEXT(OrdersYigaelIsrael[[#This Row],[Sell Date]],"yyyy-mm")</f>
        <v>2024-09</v>
      </c>
      <c r="E35" s="2">
        <v>10505.893</v>
      </c>
      <c r="F35" s="2">
        <v>10634.39</v>
      </c>
      <c r="G35" s="21">
        <v>2851</v>
      </c>
      <c r="H35">
        <f>OrdersYigaelIsrael[[#This Row],[Buy Price]]*OrdersYigaelIsrael[[#This Row],[Amount]]/100</f>
        <v>299523.00942999998</v>
      </c>
      <c r="I35">
        <f>OrdersYigaelIsrael[[#This Row],[Sell Price]]*OrdersYigaelIsrael[[#This Row],[Amount]]/100</f>
        <v>303186.45889999997</v>
      </c>
      <c r="J35">
        <f>(OrdersYigaelIsrael[[#This Row],[Buy Value]]+OrdersYigaelIsrael[[#This Row],[Sell Value]])*0.0007</f>
        <v>421.89662783099993</v>
      </c>
      <c r="K35" s="19">
        <f>(OrdersYigaelIsrael[[#This Row],[Sell Value]]-OrdersYigaelIsrael[[#This Row],[Buy Value]]-OrdersYigaelIsrael[[#This Row],[Commission]]+OrdersYigaelIsrael[[#This Row],[Dividand]])/OrdersYigaelIsrael[[#This Row],[Buy Value]]</f>
        <v>3.0393500851548228E-2</v>
      </c>
      <c r="L35">
        <v>5862</v>
      </c>
      <c r="M35">
        <f>OrdersYigaelIsrael[[#This Row],[Sell Value]]-OrdersYigaelIsrael[[#This Row],[Buy Value]]+OrdersYigaelIsrael[[#This Row],[Dividand]]-OrdersYigaelIsrael[[#This Row],[Commission]]</f>
        <v>9103.5528421689924</v>
      </c>
      <c r="N35">
        <f>SUM(INDEX(OrdersYigaelIsrael[P&amp;L],1):OrdersYigaelIsrael[[#This Row],[P&amp;L]])</f>
        <v>-47181.44580930387</v>
      </c>
    </row>
    <row r="36" spans="1:14" x14ac:dyDescent="0.25">
      <c r="A36" t="s">
        <v>17</v>
      </c>
      <c r="B36" s="1">
        <v>45538</v>
      </c>
      <c r="C36" s="1">
        <v>45540</v>
      </c>
      <c r="D36" t="str">
        <f>TEXT(OrdersYigaelIsrael[[#This Row],[Sell Date]],"yyyy-mm")</f>
        <v>2024-09</v>
      </c>
      <c r="E36" s="2">
        <v>3468.57</v>
      </c>
      <c r="F36" s="2">
        <v>3490.97</v>
      </c>
      <c r="G36" s="21">
        <v>8638</v>
      </c>
      <c r="H36">
        <f>OrdersYigaelIsrael[[#This Row],[Buy Price]]*OrdersYigaelIsrael[[#This Row],[Amount]]/100</f>
        <v>299615.07660000003</v>
      </c>
      <c r="I36">
        <f>OrdersYigaelIsrael[[#This Row],[Sell Price]]*OrdersYigaelIsrael[[#This Row],[Amount]]/100</f>
        <v>301549.98859999998</v>
      </c>
      <c r="J36">
        <f>(OrdersYigaelIsrael[[#This Row],[Buy Value]]+OrdersYigaelIsrael[[#This Row],[Sell Value]])*0.0007</f>
        <v>420.81554564000004</v>
      </c>
      <c r="K36" s="19">
        <f>(OrdersYigaelIsrael[[#This Row],[Sell Value]]-OrdersYigaelIsrael[[#This Row],[Buy Value]]-OrdersYigaelIsrael[[#This Row],[Commission]]+OrdersYigaelIsrael[[#This Row],[Dividand]])/OrdersYigaelIsrael[[#This Row],[Buy Value]]</f>
        <v>1.7886604756924815E-2</v>
      </c>
      <c r="L36">
        <v>3845</v>
      </c>
      <c r="M36">
        <f>OrdersYigaelIsrael[[#This Row],[Sell Value]]-OrdersYigaelIsrael[[#This Row],[Buy Value]]+OrdersYigaelIsrael[[#This Row],[Dividand]]-OrdersYigaelIsrael[[#This Row],[Commission]]</f>
        <v>5359.096454359953</v>
      </c>
      <c r="N36">
        <f>SUM(INDEX(OrdersYigaelIsrael[P&amp;L],1):OrdersYigaelIsrael[[#This Row],[P&amp;L]])</f>
        <v>-41822.349354943915</v>
      </c>
    </row>
    <row r="37" spans="1:14" x14ac:dyDescent="0.25">
      <c r="A37" t="s">
        <v>20</v>
      </c>
      <c r="B37" s="1">
        <v>45532</v>
      </c>
      <c r="C37" s="1">
        <v>45544</v>
      </c>
      <c r="D37" t="str">
        <f>TEXT(OrdersYigaelIsrael[[#This Row],[Sell Date]],"yyyy-mm")</f>
        <v>2024-09</v>
      </c>
      <c r="E37" s="2">
        <v>3894</v>
      </c>
      <c r="F37" s="2">
        <v>4039.16</v>
      </c>
      <c r="G37" s="21">
        <v>7704</v>
      </c>
      <c r="H37">
        <f>OrdersYigaelIsrael[[#This Row],[Buy Price]]*OrdersYigaelIsrael[[#This Row],[Amount]]/100</f>
        <v>299993.76</v>
      </c>
      <c r="I37">
        <f>OrdersYigaelIsrael[[#This Row],[Sell Price]]*OrdersYigaelIsrael[[#This Row],[Amount]]/100</f>
        <v>311176.88640000002</v>
      </c>
      <c r="J37">
        <f>(OrdersYigaelIsrael[[#This Row],[Buy Value]]+OrdersYigaelIsrael[[#This Row],[Sell Value]])*0.0007</f>
        <v>427.81945248</v>
      </c>
      <c r="K37" s="19">
        <f>(OrdersYigaelIsrael[[#This Row],[Sell Value]]-OrdersYigaelIsrael[[#This Row],[Buy Value]]-OrdersYigaelIsrael[[#This Row],[Commission]]+OrdersYigaelIsrael[[#This Row],[Dividand]])/OrdersYigaelIsrael[[#This Row],[Buy Value]]</f>
        <v>5.6532199028139815E-2</v>
      </c>
      <c r="L37">
        <v>6204</v>
      </c>
      <c r="M37">
        <f>OrdersYigaelIsrael[[#This Row],[Sell Value]]-OrdersYigaelIsrael[[#This Row],[Buy Value]]+OrdersYigaelIsrael[[#This Row],[Dividand]]-OrdersYigaelIsrael[[#This Row],[Commission]]</f>
        <v>16959.30694752001</v>
      </c>
      <c r="N37">
        <f>SUM(INDEX(OrdersYigaelIsrael[P&amp;L],1):OrdersYigaelIsrael[[#This Row],[P&amp;L]])</f>
        <v>-24863.042407423905</v>
      </c>
    </row>
    <row r="38" spans="1:14" x14ac:dyDescent="0.25">
      <c r="A38" t="s">
        <v>35</v>
      </c>
      <c r="B38" s="1">
        <v>45543</v>
      </c>
      <c r="C38" s="1">
        <v>45547</v>
      </c>
      <c r="D38" t="str">
        <f>TEXT(OrdersYigaelIsrael[[#This Row],[Sell Date]],"yyyy-mm")</f>
        <v>2024-09</v>
      </c>
      <c r="E38" s="2">
        <v>6749.3</v>
      </c>
      <c r="F38" s="2">
        <v>6728.73</v>
      </c>
      <c r="G38" s="21">
        <v>4444</v>
      </c>
      <c r="H38">
        <f>OrdersYigaelIsrael[[#This Row],[Buy Price]]*OrdersYigaelIsrael[[#This Row],[Amount]]/100</f>
        <v>299938.89199999999</v>
      </c>
      <c r="I38">
        <f>OrdersYigaelIsrael[[#This Row],[Sell Price]]*OrdersYigaelIsrael[[#This Row],[Amount]]/100</f>
        <v>299024.76119999995</v>
      </c>
      <c r="J38">
        <f>(OrdersYigaelIsrael[[#This Row],[Buy Value]]+OrdersYigaelIsrael[[#This Row],[Sell Value]])*0.0007</f>
        <v>419.27455723999998</v>
      </c>
      <c r="K38" s="19">
        <f>(OrdersYigaelIsrael[[#This Row],[Sell Value]]-OrdersYigaelIsrael[[#This Row],[Buy Value]]-OrdersYigaelIsrael[[#This Row],[Commission]]+OrdersYigaelIsrael[[#This Row],[Dividand]])/OrdersYigaelIsrael[[#This Row],[Buy Value]]</f>
        <v>-4.4455900611916734E-3</v>
      </c>
      <c r="M38">
        <f>OrdersYigaelIsrael[[#This Row],[Sell Value]]-OrdersYigaelIsrael[[#This Row],[Buy Value]]+OrdersYigaelIsrael[[#This Row],[Dividand]]-OrdersYigaelIsrael[[#This Row],[Commission]]</f>
        <v>-1333.4053572400426</v>
      </c>
      <c r="N38">
        <f>SUM(INDEX(OrdersYigaelIsrael[P&amp;L],1):OrdersYigaelIsrael[[#This Row],[P&amp;L]])</f>
        <v>-26196.44776466395</v>
      </c>
    </row>
    <row r="39" spans="1:14" x14ac:dyDescent="0.25">
      <c r="A39" t="s">
        <v>21</v>
      </c>
      <c r="B39" s="1">
        <v>45543</v>
      </c>
      <c r="C39" s="1">
        <v>45547</v>
      </c>
      <c r="D39" t="str">
        <f>TEXT(OrdersYigaelIsrael[[#This Row],[Sell Date]],"yyyy-mm")</f>
        <v>2024-09</v>
      </c>
      <c r="E39" s="2">
        <v>3600.1039999999998</v>
      </c>
      <c r="F39" s="2">
        <v>3586.59</v>
      </c>
      <c r="G39" s="21">
        <v>8333</v>
      </c>
      <c r="H39">
        <f>OrdersYigaelIsrael[[#This Row],[Buy Price]]*OrdersYigaelIsrael[[#This Row],[Amount]]/100</f>
        <v>299996.66632000002</v>
      </c>
      <c r="I39">
        <f>OrdersYigaelIsrael[[#This Row],[Sell Price]]*OrdersYigaelIsrael[[#This Row],[Amount]]/100</f>
        <v>298870.54470000003</v>
      </c>
      <c r="J39">
        <f>(OrdersYigaelIsrael[[#This Row],[Buy Value]]+OrdersYigaelIsrael[[#This Row],[Sell Value]])*0.0007</f>
        <v>419.20704771400005</v>
      </c>
      <c r="K39" s="19">
        <f>(OrdersYigaelIsrael[[#This Row],[Sell Value]]-OrdersYigaelIsrael[[#This Row],[Buy Value]]-OrdersYigaelIsrael[[#This Row],[Commission]]+OrdersYigaelIsrael[[#This Row],[Dividand]])/OrdersYigaelIsrael[[#This Row],[Buy Value]]</f>
        <v>-5.1511528000301905E-3</v>
      </c>
      <c r="M39">
        <f>OrdersYigaelIsrael[[#This Row],[Sell Value]]-OrdersYigaelIsrael[[#This Row],[Buy Value]]+OrdersYigaelIsrael[[#This Row],[Dividand]]-OrdersYigaelIsrael[[#This Row],[Commission]]</f>
        <v>-1545.3286677139909</v>
      </c>
      <c r="N39">
        <f>SUM(INDEX(OrdersYigaelIsrael[P&amp;L],1):OrdersYigaelIsrael[[#This Row],[P&amp;L]])</f>
        <v>-27741.776432377941</v>
      </c>
    </row>
    <row r="40" spans="1:14" x14ac:dyDescent="0.25">
      <c r="A40" t="s">
        <v>23</v>
      </c>
      <c r="B40" s="1">
        <v>45544</v>
      </c>
      <c r="C40" s="1">
        <v>45547</v>
      </c>
      <c r="D40" t="str">
        <f>TEXT(OrdersYigaelIsrael[[#This Row],[Sell Date]],"yyyy-mm")</f>
        <v>2024-09</v>
      </c>
      <c r="E40" s="2">
        <v>1990.76</v>
      </c>
      <c r="F40" s="2">
        <v>2000.87</v>
      </c>
      <c r="G40" s="21">
        <v>17500</v>
      </c>
      <c r="H40">
        <f>OrdersYigaelIsrael[[#This Row],[Buy Price]]*OrdersYigaelIsrael[[#This Row],[Amount]]/100</f>
        <v>348383</v>
      </c>
      <c r="I40">
        <f>OrdersYigaelIsrael[[#This Row],[Sell Price]]*OrdersYigaelIsrael[[#This Row],[Amount]]/100</f>
        <v>350152.25</v>
      </c>
      <c r="J40">
        <f>(OrdersYigaelIsrael[[#This Row],[Buy Value]]+OrdersYigaelIsrael[[#This Row],[Sell Value]])*0.0007</f>
        <v>488.97467499999999</v>
      </c>
      <c r="K40" s="19">
        <f>(OrdersYigaelIsrael[[#This Row],[Sell Value]]-OrdersYigaelIsrael[[#This Row],[Buy Value]]-OrdersYigaelIsrael[[#This Row],[Commission]]+OrdersYigaelIsrael[[#This Row],[Dividand]])/OrdersYigaelIsrael[[#This Row],[Buy Value]]</f>
        <v>3.6749075729872009E-3</v>
      </c>
      <c r="M40">
        <f>OrdersYigaelIsrael[[#This Row],[Sell Value]]-OrdersYigaelIsrael[[#This Row],[Buy Value]]+OrdersYigaelIsrael[[#This Row],[Dividand]]-OrdersYigaelIsrael[[#This Row],[Commission]]</f>
        <v>1280.2753250000001</v>
      </c>
      <c r="N40">
        <f>SUM(INDEX(OrdersYigaelIsrael[P&amp;L],1):OrdersYigaelIsrael[[#This Row],[P&amp;L]])</f>
        <v>-26461.501107377942</v>
      </c>
    </row>
    <row r="41" spans="1:14" x14ac:dyDescent="0.25">
      <c r="A41" t="s">
        <v>34</v>
      </c>
      <c r="B41" s="1">
        <v>45550</v>
      </c>
      <c r="C41" s="1">
        <v>45554</v>
      </c>
      <c r="D41" t="str">
        <f>TEXT(OrdersYigaelIsrael[[#This Row],[Sell Date]],"yyyy-mm")</f>
        <v>2024-09</v>
      </c>
      <c r="E41" s="2">
        <v>10441.824000000001</v>
      </c>
      <c r="F41" s="2">
        <v>10480</v>
      </c>
      <c r="G41" s="21">
        <v>2419</v>
      </c>
      <c r="H41">
        <f>OrdersYigaelIsrael[[#This Row],[Buy Price]]*OrdersYigaelIsrael[[#This Row],[Amount]]/100</f>
        <v>252587.72256000002</v>
      </c>
      <c r="I41">
        <f>OrdersYigaelIsrael[[#This Row],[Sell Price]]*OrdersYigaelIsrael[[#This Row],[Amount]]/100</f>
        <v>253511.2</v>
      </c>
      <c r="J41">
        <f>(OrdersYigaelIsrael[[#This Row],[Buy Value]]+OrdersYigaelIsrael[[#This Row],[Sell Value]])*0.0007</f>
        <v>354.26924579200005</v>
      </c>
      <c r="K41" s="19">
        <f>(OrdersYigaelIsrael[[#This Row],[Sell Value]]-OrdersYigaelIsrael[[#This Row],[Buy Value]]-OrdersYigaelIsrael[[#This Row],[Commission]]+OrdersYigaelIsrael[[#This Row],[Dividand]])/OrdersYigaelIsrael[[#This Row],[Buy Value]]</f>
        <v>2.2535069734942377E-3</v>
      </c>
      <c r="M41">
        <f>OrdersYigaelIsrael[[#This Row],[Sell Value]]-OrdersYigaelIsrael[[#This Row],[Buy Value]]+OrdersYigaelIsrael[[#This Row],[Dividand]]-OrdersYigaelIsrael[[#This Row],[Commission]]</f>
        <v>569.20819420798784</v>
      </c>
      <c r="N41">
        <f>SUM(INDEX(OrdersYigaelIsrael[P&amp;L],1):OrdersYigaelIsrael[[#This Row],[P&amp;L]])</f>
        <v>-25892.292913169953</v>
      </c>
    </row>
    <row r="42" spans="1:14" x14ac:dyDescent="0.25">
      <c r="A42" t="s">
        <v>30</v>
      </c>
      <c r="B42" s="1">
        <v>45554</v>
      </c>
      <c r="C42" s="1">
        <v>45559</v>
      </c>
      <c r="D42" t="str">
        <f>TEXT(OrdersYigaelIsrael[[#This Row],[Sell Date]],"yyyy-mm")</f>
        <v>2024-09</v>
      </c>
      <c r="E42" s="2">
        <v>13400</v>
      </c>
      <c r="F42" s="2">
        <v>13682.27</v>
      </c>
      <c r="G42" s="21">
        <v>2611</v>
      </c>
      <c r="H42">
        <f>OrdersYigaelIsrael[[#This Row],[Buy Price]]*OrdersYigaelIsrael[[#This Row],[Amount]]/100</f>
        <v>349874</v>
      </c>
      <c r="I42">
        <f>OrdersYigaelIsrael[[#This Row],[Sell Price]]*OrdersYigaelIsrael[[#This Row],[Amount]]/100</f>
        <v>357244.06969999999</v>
      </c>
      <c r="J42">
        <f>(OrdersYigaelIsrael[[#This Row],[Buy Value]]+OrdersYigaelIsrael[[#This Row],[Sell Value]])*0.0007</f>
        <v>494.98264878999998</v>
      </c>
      <c r="K42" s="19">
        <f>(OrdersYigaelIsrael[[#This Row],[Sell Value]]-OrdersYigaelIsrael[[#This Row],[Buy Value]]-OrdersYigaelIsrael[[#This Row],[Commission]]+OrdersYigaelIsrael[[#This Row],[Dividand]])/OrdersYigaelIsrael[[#This Row],[Buy Value]]</f>
        <v>1.9650179925373115E-2</v>
      </c>
      <c r="M42">
        <f>OrdersYigaelIsrael[[#This Row],[Sell Value]]-OrdersYigaelIsrael[[#This Row],[Buy Value]]+OrdersYigaelIsrael[[#This Row],[Dividand]]-OrdersYigaelIsrael[[#This Row],[Commission]]</f>
        <v>6875.0870512099928</v>
      </c>
      <c r="N42">
        <f>SUM(INDEX(OrdersYigaelIsrael[P&amp;L],1):OrdersYigaelIsrael[[#This Row],[P&amp;L]])</f>
        <v>-19017.205861959959</v>
      </c>
    </row>
    <row r="43" spans="1:14" x14ac:dyDescent="0.25">
      <c r="A43" t="s">
        <v>17</v>
      </c>
      <c r="B43" s="1">
        <v>45550</v>
      </c>
      <c r="C43" s="1">
        <v>45560</v>
      </c>
      <c r="D43" t="str">
        <f>TEXT(OrdersYigaelIsrael[[#This Row],[Sell Date]],"yyyy-mm")</f>
        <v>2024-09</v>
      </c>
      <c r="E43" s="2">
        <v>3440</v>
      </c>
      <c r="F43" s="2">
        <v>3488</v>
      </c>
      <c r="G43" s="21">
        <v>8720</v>
      </c>
      <c r="H43">
        <f>OrdersYigaelIsrael[[#This Row],[Buy Price]]*OrdersYigaelIsrael[[#This Row],[Amount]]/100</f>
        <v>299968</v>
      </c>
      <c r="I43">
        <f>OrdersYigaelIsrael[[#This Row],[Sell Price]]*OrdersYigaelIsrael[[#This Row],[Amount]]/100</f>
        <v>304153.59999999998</v>
      </c>
      <c r="J43">
        <f>(OrdersYigaelIsrael[[#This Row],[Buy Value]]+OrdersYigaelIsrael[[#This Row],[Sell Value]])*0.0007</f>
        <v>422.88511999999997</v>
      </c>
      <c r="K43" s="19">
        <f>(OrdersYigaelIsrael[[#This Row],[Sell Value]]-OrdersYigaelIsrael[[#This Row],[Buy Value]]-OrdersYigaelIsrael[[#This Row],[Commission]]+OrdersYigaelIsrael[[#This Row],[Dividand]])/OrdersYigaelIsrael[[#This Row],[Buy Value]]</f>
        <v>1.2543720930232481E-2</v>
      </c>
      <c r="M43">
        <f>OrdersYigaelIsrael[[#This Row],[Sell Value]]-OrdersYigaelIsrael[[#This Row],[Buy Value]]+OrdersYigaelIsrael[[#This Row],[Dividand]]-OrdersYigaelIsrael[[#This Row],[Commission]]</f>
        <v>3762.7148799999768</v>
      </c>
      <c r="N43">
        <f>SUM(INDEX(OrdersYigaelIsrael[P&amp;L],1):OrdersYigaelIsrael[[#This Row],[P&amp;L]])</f>
        <v>-15254.490981959982</v>
      </c>
    </row>
    <row r="44" spans="1:14" x14ac:dyDescent="0.25">
      <c r="A44" t="s">
        <v>36</v>
      </c>
      <c r="B44" s="1">
        <v>45550</v>
      </c>
      <c r="C44" s="1">
        <v>45561</v>
      </c>
      <c r="D44" t="str">
        <f>TEXT(OrdersYigaelIsrael[[#This Row],[Sell Date]],"yyyy-mm")</f>
        <v>2024-09</v>
      </c>
      <c r="E44" s="2">
        <v>639.20000000000005</v>
      </c>
      <c r="F44" s="2">
        <v>620.9</v>
      </c>
      <c r="G44" s="21">
        <v>46933</v>
      </c>
      <c r="H44">
        <f>OrdersYigaelIsrael[[#This Row],[Buy Price]]*OrdersYigaelIsrael[[#This Row],[Amount]]/100</f>
        <v>299995.73600000003</v>
      </c>
      <c r="I44">
        <f>OrdersYigaelIsrael[[#This Row],[Sell Price]]*OrdersYigaelIsrael[[#This Row],[Amount]]/100</f>
        <v>291406.99699999997</v>
      </c>
      <c r="J44">
        <f>(OrdersYigaelIsrael[[#This Row],[Buy Value]]+OrdersYigaelIsrael[[#This Row],[Sell Value]])*0.0007</f>
        <v>413.98191309999999</v>
      </c>
      <c r="K44" s="19">
        <f>(OrdersYigaelIsrael[[#This Row],[Sell Value]]-OrdersYigaelIsrael[[#This Row],[Buy Value]]-OrdersYigaelIsrael[[#This Row],[Commission]]+OrdersYigaelIsrael[[#This Row],[Dividand]])/OrdersYigaelIsrael[[#This Row],[Buy Value]]</f>
        <v>-3.000949624530683E-2</v>
      </c>
      <c r="M44">
        <f>OrdersYigaelIsrael[[#This Row],[Sell Value]]-OrdersYigaelIsrael[[#This Row],[Buy Value]]+OrdersYigaelIsrael[[#This Row],[Dividand]]-OrdersYigaelIsrael[[#This Row],[Commission]]</f>
        <v>-9002.72091310006</v>
      </c>
      <c r="N44">
        <f>SUM(INDEX(OrdersYigaelIsrael[P&amp;L],1):OrdersYigaelIsrael[[#This Row],[P&amp;L]])</f>
        <v>-24257.211895060042</v>
      </c>
    </row>
    <row r="45" spans="1:14" x14ac:dyDescent="0.25">
      <c r="A45" t="s">
        <v>26</v>
      </c>
      <c r="B45" s="1">
        <v>45560</v>
      </c>
      <c r="C45" s="1">
        <v>45561</v>
      </c>
      <c r="D45" t="str">
        <f>TEXT(OrdersYigaelIsrael[[#This Row],[Sell Date]],"yyyy-mm")</f>
        <v>2024-09</v>
      </c>
      <c r="E45" s="2">
        <v>3384</v>
      </c>
      <c r="F45" s="2">
        <v>3497</v>
      </c>
      <c r="G45" s="21">
        <v>6004</v>
      </c>
      <c r="H45">
        <f>OrdersYigaelIsrael[[#This Row],[Buy Price]]*OrdersYigaelIsrael[[#This Row],[Amount]]/100</f>
        <v>203175.36</v>
      </c>
      <c r="I45">
        <f>OrdersYigaelIsrael[[#This Row],[Sell Price]]*OrdersYigaelIsrael[[#This Row],[Amount]]/100</f>
        <v>209959.88</v>
      </c>
      <c r="J45">
        <f>(OrdersYigaelIsrael[[#This Row],[Buy Value]]+OrdersYigaelIsrael[[#This Row],[Sell Value]])*0.0007</f>
        <v>289.19466799999998</v>
      </c>
      <c r="K45" s="19">
        <f>(OrdersYigaelIsrael[[#This Row],[Sell Value]]-OrdersYigaelIsrael[[#This Row],[Buy Value]]-OrdersYigaelIsrael[[#This Row],[Commission]]+OrdersYigaelIsrael[[#This Row],[Dividand]])/OrdersYigaelIsrael[[#This Row],[Buy Value]]</f>
        <v>3.1969060283688039E-2</v>
      </c>
      <c r="M45">
        <f>OrdersYigaelIsrael[[#This Row],[Sell Value]]-OrdersYigaelIsrael[[#This Row],[Buy Value]]+OrdersYigaelIsrael[[#This Row],[Dividand]]-OrdersYigaelIsrael[[#This Row],[Commission]]</f>
        <v>6495.3253320000185</v>
      </c>
      <c r="N45">
        <f>SUM(INDEX(OrdersYigaelIsrael[P&amp;L],1):OrdersYigaelIsrael[[#This Row],[P&amp;L]])</f>
        <v>-17761.886563060023</v>
      </c>
    </row>
    <row r="46" spans="1:14" x14ac:dyDescent="0.25">
      <c r="A46" t="s">
        <v>35</v>
      </c>
      <c r="B46" s="1">
        <v>45560</v>
      </c>
      <c r="C46" s="1">
        <v>45561</v>
      </c>
      <c r="D46" t="str">
        <f>TEXT(OrdersYigaelIsrael[[#This Row],[Sell Date]],"yyyy-mm")</f>
        <v>2024-09</v>
      </c>
      <c r="E46" s="2">
        <v>6739</v>
      </c>
      <c r="F46" s="2">
        <v>6518.1869999999999</v>
      </c>
      <c r="G46" s="21">
        <v>5193</v>
      </c>
      <c r="H46">
        <f>OrdersYigaelIsrael[[#This Row],[Buy Price]]*OrdersYigaelIsrael[[#This Row],[Amount]]/100</f>
        <v>349956.27</v>
      </c>
      <c r="I46">
        <f>OrdersYigaelIsrael[[#This Row],[Sell Price]]*OrdersYigaelIsrael[[#This Row],[Amount]]/100</f>
        <v>338489.45090999996</v>
      </c>
      <c r="J46">
        <f>(OrdersYigaelIsrael[[#This Row],[Buy Value]]+OrdersYigaelIsrael[[#This Row],[Sell Value]])*0.0007</f>
        <v>481.91200463699994</v>
      </c>
      <c r="K46" s="19">
        <f>(OrdersYigaelIsrael[[#This Row],[Sell Value]]-OrdersYigaelIsrael[[#This Row],[Buy Value]]-OrdersYigaelIsrael[[#This Row],[Commission]]+OrdersYigaelIsrael[[#This Row],[Dividand]])/OrdersYigaelIsrael[[#This Row],[Buy Value]]</f>
        <v>-3.4143497685116667E-2</v>
      </c>
      <c r="M46">
        <f>OrdersYigaelIsrael[[#This Row],[Sell Value]]-OrdersYigaelIsrael[[#This Row],[Buy Value]]+OrdersYigaelIsrael[[#This Row],[Dividand]]-OrdersYigaelIsrael[[#This Row],[Commission]]</f>
        <v>-11948.731094637064</v>
      </c>
      <c r="N46">
        <f>SUM(INDEX(OrdersYigaelIsrael[P&amp;L],1):OrdersYigaelIsrael[[#This Row],[P&amp;L]])</f>
        <v>-29710.617657697087</v>
      </c>
    </row>
    <row r="47" spans="1:14" x14ac:dyDescent="0.25">
      <c r="A47" t="s">
        <v>17</v>
      </c>
      <c r="B47" s="1">
        <v>45564</v>
      </c>
      <c r="C47" s="1">
        <v>45566</v>
      </c>
      <c r="D47" t="str">
        <f>TEXT(OrdersYigaelIsrael[[#This Row],[Sell Date]],"yyyy-mm")</f>
        <v>2024-10</v>
      </c>
      <c r="E47" s="2">
        <v>3588</v>
      </c>
      <c r="F47" s="2">
        <v>3617</v>
      </c>
      <c r="G47" s="21">
        <v>10747</v>
      </c>
      <c r="H47">
        <f>OrdersYigaelIsrael[[#This Row],[Buy Price]]*OrdersYigaelIsrael[[#This Row],[Amount]]/100</f>
        <v>385602.36</v>
      </c>
      <c r="I47">
        <f>OrdersYigaelIsrael[[#This Row],[Sell Price]]*OrdersYigaelIsrael[[#This Row],[Amount]]/100</f>
        <v>388718.99</v>
      </c>
      <c r="J47">
        <f>(OrdersYigaelIsrael[[#This Row],[Buy Value]]+OrdersYigaelIsrael[[#This Row],[Sell Value]])*0.0007</f>
        <v>542.024945</v>
      </c>
      <c r="K47" s="19">
        <f>(OrdersYigaelIsrael[[#This Row],[Sell Value]]-OrdersYigaelIsrael[[#This Row],[Buy Value]]-OrdersYigaelIsrael[[#This Row],[Commission]]+OrdersYigaelIsrael[[#This Row],[Dividand]])/OrdersYigaelIsrael[[#This Row],[Buy Value]]</f>
        <v>6.6768394648829554E-3</v>
      </c>
      <c r="M47">
        <f>OrdersYigaelIsrael[[#This Row],[Sell Value]]-OrdersYigaelIsrael[[#This Row],[Buy Value]]+OrdersYigaelIsrael[[#This Row],[Dividand]]-OrdersYigaelIsrael[[#This Row],[Commission]]</f>
        <v>2574.6050550000045</v>
      </c>
      <c r="N47">
        <f>SUM(INDEX(OrdersYigaelIsrael[P&amp;L],1):OrdersYigaelIsrael[[#This Row],[P&amp;L]])</f>
        <v>-27136.012602697083</v>
      </c>
    </row>
    <row r="48" spans="1:14" x14ac:dyDescent="0.25">
      <c r="A48" t="s">
        <v>23</v>
      </c>
      <c r="B48" s="1">
        <v>45565</v>
      </c>
      <c r="C48" s="1">
        <v>45566</v>
      </c>
      <c r="D48" t="str">
        <f>TEXT(OrdersYigaelIsrael[[#This Row],[Sell Date]],"yyyy-mm")</f>
        <v>2024-10</v>
      </c>
      <c r="E48" s="2">
        <v>2068</v>
      </c>
      <c r="F48" s="2">
        <v>2072</v>
      </c>
      <c r="G48" s="21">
        <v>5906</v>
      </c>
      <c r="H48">
        <f>OrdersYigaelIsrael[[#This Row],[Buy Price]]*OrdersYigaelIsrael[[#This Row],[Amount]]/100</f>
        <v>122136.08</v>
      </c>
      <c r="I48">
        <f>OrdersYigaelIsrael[[#This Row],[Sell Price]]*OrdersYigaelIsrael[[#This Row],[Amount]]/100</f>
        <v>122372.32</v>
      </c>
      <c r="J48">
        <f>(OrdersYigaelIsrael[[#This Row],[Buy Value]]+OrdersYigaelIsrael[[#This Row],[Sell Value]])*0.0007</f>
        <v>171.15588000000002</v>
      </c>
      <c r="K48" s="19">
        <f>(OrdersYigaelIsrael[[#This Row],[Sell Value]]-OrdersYigaelIsrael[[#This Row],[Buy Value]]-OrdersYigaelIsrael[[#This Row],[Commission]]+OrdersYigaelIsrael[[#This Row],[Dividand]])/OrdersYigaelIsrael[[#This Row],[Buy Value]]</f>
        <v>5.328820116054585E-4</v>
      </c>
      <c r="M48">
        <f>OrdersYigaelIsrael[[#This Row],[Sell Value]]-OrdersYigaelIsrael[[#This Row],[Buy Value]]+OrdersYigaelIsrael[[#This Row],[Dividand]]-OrdersYigaelIsrael[[#This Row],[Commission]]</f>
        <v>65.084120000005214</v>
      </c>
      <c r="N48">
        <f>SUM(INDEX(OrdersYigaelIsrael[P&amp;L],1):OrdersYigaelIsrael[[#This Row],[P&amp;L]])</f>
        <v>-27070.928482697076</v>
      </c>
    </row>
    <row r="49" spans="1:14" x14ac:dyDescent="0.25">
      <c r="A49" t="s">
        <v>36</v>
      </c>
      <c r="B49" s="1">
        <v>45565</v>
      </c>
      <c r="C49" s="1">
        <v>45566</v>
      </c>
      <c r="D49" t="str">
        <f>TEXT(OrdersYigaelIsrael[[#This Row],[Sell Date]],"yyyy-mm")</f>
        <v>2024-10</v>
      </c>
      <c r="E49" s="2">
        <v>641.6</v>
      </c>
      <c r="F49" s="2">
        <v>666.9</v>
      </c>
      <c r="G49" s="21">
        <v>23379</v>
      </c>
      <c r="H49">
        <f>OrdersYigaelIsrael[[#This Row],[Buy Price]]*OrdersYigaelIsrael[[#This Row],[Amount]]/100</f>
        <v>149999.66399999999</v>
      </c>
      <c r="I49">
        <f>OrdersYigaelIsrael[[#This Row],[Sell Price]]*OrdersYigaelIsrael[[#This Row],[Amount]]/100</f>
        <v>155914.55100000001</v>
      </c>
      <c r="J49">
        <f>(OrdersYigaelIsrael[[#This Row],[Buy Value]]+OrdersYigaelIsrael[[#This Row],[Sell Value]])*0.0007</f>
        <v>214.13995049999997</v>
      </c>
      <c r="K49" s="19">
        <f>(OrdersYigaelIsrael[[#This Row],[Sell Value]]-OrdersYigaelIsrael[[#This Row],[Buy Value]]-OrdersYigaelIsrael[[#This Row],[Commission]]+OrdersYigaelIsrael[[#This Row],[Dividand]])/OrdersYigaelIsrael[[#This Row],[Buy Value]]</f>
        <v>3.800506546134675E-2</v>
      </c>
      <c r="M49">
        <f>OrdersYigaelIsrael[[#This Row],[Sell Value]]-OrdersYigaelIsrael[[#This Row],[Buy Value]]+OrdersYigaelIsrael[[#This Row],[Dividand]]-OrdersYigaelIsrael[[#This Row],[Commission]]</f>
        <v>5700.7470495000171</v>
      </c>
      <c r="N49">
        <f>SUM(INDEX(OrdersYigaelIsrael[P&amp;L],1):OrdersYigaelIsrael[[#This Row],[P&amp;L]])</f>
        <v>-21370.18143319706</v>
      </c>
    </row>
    <row r="50" spans="1:14" x14ac:dyDescent="0.25">
      <c r="A50" t="s">
        <v>23</v>
      </c>
      <c r="B50" s="1">
        <v>45565</v>
      </c>
      <c r="C50" s="1">
        <v>45566</v>
      </c>
      <c r="D50" t="str">
        <f>TEXT(OrdersYigaelIsrael[[#This Row],[Sell Date]],"yyyy-mm")</f>
        <v>2024-10</v>
      </c>
      <c r="E50" s="2">
        <v>2068</v>
      </c>
      <c r="F50" s="2">
        <v>2077</v>
      </c>
      <c r="G50" s="21">
        <v>13436</v>
      </c>
      <c r="H50">
        <f>OrdersYigaelIsrael[[#This Row],[Buy Price]]*OrdersYigaelIsrael[[#This Row],[Amount]]/100</f>
        <v>277856.48</v>
      </c>
      <c r="I50">
        <f>OrdersYigaelIsrael[[#This Row],[Sell Price]]*OrdersYigaelIsrael[[#This Row],[Amount]]/100</f>
        <v>279065.71999999997</v>
      </c>
      <c r="J50">
        <f>(OrdersYigaelIsrael[[#This Row],[Buy Value]]+OrdersYigaelIsrael[[#This Row],[Sell Value]])*0.0007</f>
        <v>389.84553999999997</v>
      </c>
      <c r="K50" s="19">
        <f>(OrdersYigaelIsrael[[#This Row],[Sell Value]]-OrdersYigaelIsrael[[#This Row],[Buy Value]]-OrdersYigaelIsrael[[#This Row],[Commission]]+OrdersYigaelIsrael[[#This Row],[Dividand]])/OrdersYigaelIsrael[[#This Row],[Buy Value]]</f>
        <v>2.9489845261121521E-3</v>
      </c>
      <c r="M50">
        <f>OrdersYigaelIsrael[[#This Row],[Sell Value]]-OrdersYigaelIsrael[[#This Row],[Buy Value]]+OrdersYigaelIsrael[[#This Row],[Dividand]]-OrdersYigaelIsrael[[#This Row],[Commission]]</f>
        <v>819.39445999999066</v>
      </c>
      <c r="N50">
        <f>SUM(INDEX(OrdersYigaelIsrael[P&amp;L],1):OrdersYigaelIsrael[[#This Row],[P&amp;L]])</f>
        <v>-20550.786973197068</v>
      </c>
    </row>
    <row r="51" spans="1:14" x14ac:dyDescent="0.25">
      <c r="A51" t="s">
        <v>36</v>
      </c>
      <c r="B51" s="1">
        <v>45571</v>
      </c>
      <c r="C51" s="1">
        <v>45573</v>
      </c>
      <c r="D51" t="str">
        <f>TEXT(OrdersYigaelIsrael[[#This Row],[Sell Date]],"yyyy-mm")</f>
        <v>2024-10</v>
      </c>
      <c r="E51" s="2">
        <v>693</v>
      </c>
      <c r="F51" s="2">
        <v>702</v>
      </c>
      <c r="G51" s="21">
        <v>70126</v>
      </c>
      <c r="H51">
        <f>OrdersYigaelIsrael[[#This Row],[Buy Price]]*OrdersYigaelIsrael[[#This Row],[Amount]]/100</f>
        <v>485973.18</v>
      </c>
      <c r="I51">
        <f>OrdersYigaelIsrael[[#This Row],[Sell Price]]*OrdersYigaelIsrael[[#This Row],[Amount]]/100</f>
        <v>492284.52</v>
      </c>
      <c r="J51">
        <f>(OrdersYigaelIsrael[[#This Row],[Buy Value]]+OrdersYigaelIsrael[[#This Row],[Sell Value]])*0.0007</f>
        <v>684.78039000000001</v>
      </c>
      <c r="K51" s="19">
        <f>(OrdersYigaelIsrael[[#This Row],[Sell Value]]-OrdersYigaelIsrael[[#This Row],[Buy Value]]-OrdersYigaelIsrael[[#This Row],[Commission]]+OrdersYigaelIsrael[[#This Row],[Dividand]])/OrdersYigaelIsrael[[#This Row],[Buy Value]]</f>
        <v>1.1577922077922131E-2</v>
      </c>
      <c r="M51">
        <f>OrdersYigaelIsrael[[#This Row],[Sell Value]]-OrdersYigaelIsrael[[#This Row],[Buy Value]]+OrdersYigaelIsrael[[#This Row],[Dividand]]-OrdersYigaelIsrael[[#This Row],[Commission]]</f>
        <v>5626.5596100000257</v>
      </c>
      <c r="N51">
        <f>SUM(INDEX(OrdersYigaelIsrael[P&amp;L],1):OrdersYigaelIsrael[[#This Row],[P&amp;L]])</f>
        <v>-14924.227363197042</v>
      </c>
    </row>
    <row r="52" spans="1:14" x14ac:dyDescent="0.25">
      <c r="A52" t="s">
        <v>17</v>
      </c>
      <c r="B52" s="1">
        <v>45568</v>
      </c>
      <c r="C52" s="1">
        <v>45574</v>
      </c>
      <c r="D52" t="str">
        <f>TEXT(OrdersYigaelIsrael[[#This Row],[Sell Date]],"yyyy-mm")</f>
        <v>2024-10</v>
      </c>
      <c r="E52" s="2">
        <v>3568.8989999999999</v>
      </c>
      <c r="F52" s="2">
        <v>3601.66</v>
      </c>
      <c r="G52" s="21">
        <v>11267</v>
      </c>
      <c r="H52">
        <f>OrdersYigaelIsrael[[#This Row],[Buy Price]]*OrdersYigaelIsrael[[#This Row],[Amount]]/100</f>
        <v>402107.85032999999</v>
      </c>
      <c r="I52">
        <f>OrdersYigaelIsrael[[#This Row],[Sell Price]]*OrdersYigaelIsrael[[#This Row],[Amount]]/100</f>
        <v>405799.03220000002</v>
      </c>
      <c r="J52">
        <f>(OrdersYigaelIsrael[[#This Row],[Buy Value]]+OrdersYigaelIsrael[[#This Row],[Sell Value]])*0.0007</f>
        <v>565.53481777100001</v>
      </c>
      <c r="K52" s="19">
        <f>(OrdersYigaelIsrael[[#This Row],[Sell Value]]-OrdersYigaelIsrael[[#This Row],[Buy Value]]-OrdersYigaelIsrael[[#This Row],[Commission]]+OrdersYigaelIsrael[[#This Row],[Dividand]])/OrdersYigaelIsrael[[#This Row],[Buy Value]]</f>
        <v>7.7731560069366663E-3</v>
      </c>
      <c r="M52">
        <f>OrdersYigaelIsrael[[#This Row],[Sell Value]]-OrdersYigaelIsrael[[#This Row],[Buy Value]]+OrdersYigaelIsrael[[#This Row],[Dividand]]-OrdersYigaelIsrael[[#This Row],[Commission]]</f>
        <v>3125.6470522290292</v>
      </c>
      <c r="N52">
        <f>SUM(INDEX(OrdersYigaelIsrael[P&amp;L],1):OrdersYigaelIsrael[[#This Row],[P&amp;L]])</f>
        <v>-11798.580310968013</v>
      </c>
    </row>
    <row r="53" spans="1:14" x14ac:dyDescent="0.25">
      <c r="A53" t="s">
        <v>30</v>
      </c>
      <c r="B53" s="1">
        <v>45572</v>
      </c>
      <c r="C53" s="1">
        <v>45574</v>
      </c>
      <c r="D53" t="str">
        <f>TEXT(OrdersYigaelIsrael[[#This Row],[Sell Date]],"yyyy-mm")</f>
        <v>2024-10</v>
      </c>
      <c r="E53" s="2">
        <v>14090</v>
      </c>
      <c r="F53" s="2">
        <v>14370</v>
      </c>
      <c r="G53" s="21">
        <v>1064</v>
      </c>
      <c r="H53">
        <f>OrdersYigaelIsrael[[#This Row],[Buy Price]]*OrdersYigaelIsrael[[#This Row],[Amount]]/100</f>
        <v>149917.6</v>
      </c>
      <c r="I53">
        <f>OrdersYigaelIsrael[[#This Row],[Sell Price]]*OrdersYigaelIsrael[[#This Row],[Amount]]/100</f>
        <v>152896.79999999999</v>
      </c>
      <c r="J53">
        <f>(OrdersYigaelIsrael[[#This Row],[Buy Value]]+OrdersYigaelIsrael[[#This Row],[Sell Value]])*0.0007</f>
        <v>211.97008000000002</v>
      </c>
      <c r="K53" s="19">
        <f>(OrdersYigaelIsrael[[#This Row],[Sell Value]]-OrdersYigaelIsrael[[#This Row],[Buy Value]]-OrdersYigaelIsrael[[#This Row],[Commission]]+OrdersYigaelIsrael[[#This Row],[Dividand]])/OrdersYigaelIsrael[[#This Row],[Buy Value]]</f>
        <v>1.8458339247693283E-2</v>
      </c>
      <c r="M53">
        <f>OrdersYigaelIsrael[[#This Row],[Sell Value]]-OrdersYigaelIsrael[[#This Row],[Buy Value]]+OrdersYigaelIsrael[[#This Row],[Dividand]]-OrdersYigaelIsrael[[#This Row],[Commission]]</f>
        <v>2767.2299199999825</v>
      </c>
      <c r="N53">
        <f>SUM(INDEX(OrdersYigaelIsrael[P&amp;L],1):OrdersYigaelIsrael[[#This Row],[P&amp;L]])</f>
        <v>-9031.3503909680294</v>
      </c>
    </row>
    <row r="54" spans="1:14" x14ac:dyDescent="0.25">
      <c r="A54" t="s">
        <v>36</v>
      </c>
      <c r="B54" s="1">
        <v>45574</v>
      </c>
      <c r="C54" s="1">
        <v>45575</v>
      </c>
      <c r="D54" t="str">
        <f>TEXT(OrdersYigaelIsrael[[#This Row],[Sell Date]],"yyyy-mm")</f>
        <v>2024-10</v>
      </c>
      <c r="E54" s="2">
        <v>743.2</v>
      </c>
      <c r="F54" s="2">
        <v>725.36</v>
      </c>
      <c r="G54" s="21">
        <v>56512</v>
      </c>
      <c r="H54">
        <f>OrdersYigaelIsrael[[#This Row],[Buy Price]]*OrdersYigaelIsrael[[#This Row],[Amount]]/100</f>
        <v>419997.18400000007</v>
      </c>
      <c r="I54">
        <f>OrdersYigaelIsrael[[#This Row],[Sell Price]]*OrdersYigaelIsrael[[#This Row],[Amount]]/100</f>
        <v>409915.44319999998</v>
      </c>
      <c r="J54">
        <f>(OrdersYigaelIsrael[[#This Row],[Buy Value]]+OrdersYigaelIsrael[[#This Row],[Sell Value]])*0.0007</f>
        <v>580.93883903999995</v>
      </c>
      <c r="K54" s="19">
        <f>(OrdersYigaelIsrael[[#This Row],[Sell Value]]-OrdersYigaelIsrael[[#This Row],[Buy Value]]-OrdersYigaelIsrael[[#This Row],[Commission]]+OrdersYigaelIsrael[[#This Row],[Dividand]])/OrdersYigaelIsrael[[#This Row],[Buy Value]]</f>
        <v>-2.5387502691065864E-2</v>
      </c>
      <c r="M54">
        <f>OrdersYigaelIsrael[[#This Row],[Sell Value]]-OrdersYigaelIsrael[[#This Row],[Buy Value]]+OrdersYigaelIsrael[[#This Row],[Dividand]]-OrdersYigaelIsrael[[#This Row],[Commission]]</f>
        <v>-10662.679639040087</v>
      </c>
      <c r="N54">
        <f>SUM(INDEX(OrdersYigaelIsrael[P&amp;L],1):OrdersYigaelIsrael[[#This Row],[P&amp;L]])</f>
        <v>-19694.030030008114</v>
      </c>
    </row>
    <row r="55" spans="1:14" x14ac:dyDescent="0.25">
      <c r="A55" t="s">
        <v>19</v>
      </c>
      <c r="B55" s="1">
        <v>45573</v>
      </c>
      <c r="C55" s="1">
        <v>45579</v>
      </c>
      <c r="D55" t="str">
        <f>TEXT(OrdersYigaelIsrael[[#This Row],[Sell Date]],"yyyy-mm")</f>
        <v>2024-10</v>
      </c>
      <c r="E55" s="2">
        <v>79420</v>
      </c>
      <c r="F55" s="2">
        <v>78989.62</v>
      </c>
      <c r="G55" s="21">
        <v>566</v>
      </c>
      <c r="H55">
        <f>OrdersYigaelIsrael[[#This Row],[Buy Price]]*OrdersYigaelIsrael[[#This Row],[Amount]]/100</f>
        <v>449517.2</v>
      </c>
      <c r="I55">
        <f>OrdersYigaelIsrael[[#This Row],[Sell Price]]*OrdersYigaelIsrael[[#This Row],[Amount]]/100</f>
        <v>447081.24919999996</v>
      </c>
      <c r="J55">
        <f>(OrdersYigaelIsrael[[#This Row],[Buy Value]]+OrdersYigaelIsrael[[#This Row],[Sell Value]])*0.0007</f>
        <v>627.61891443999991</v>
      </c>
      <c r="K55" s="19">
        <f>(OrdersYigaelIsrael[[#This Row],[Sell Value]]-OrdersYigaelIsrael[[#This Row],[Buy Value]]-OrdersYigaelIsrael[[#This Row],[Commission]]+OrdersYigaelIsrael[[#This Row],[Dividand]])/OrdersYigaelIsrael[[#This Row],[Buy Value]]</f>
        <v>-6.8152446990683551E-3</v>
      </c>
      <c r="M55">
        <f>OrdersYigaelIsrael[[#This Row],[Sell Value]]-OrdersYigaelIsrael[[#This Row],[Buy Value]]+OrdersYigaelIsrael[[#This Row],[Dividand]]-OrdersYigaelIsrael[[#This Row],[Commission]]</f>
        <v>-3063.5697144400497</v>
      </c>
      <c r="N55">
        <f>SUM(INDEX(OrdersYigaelIsrael[P&amp;L],1):OrdersYigaelIsrael[[#This Row],[P&amp;L]])</f>
        <v>-22757.599744448165</v>
      </c>
    </row>
    <row r="56" spans="1:14" x14ac:dyDescent="0.25">
      <c r="A56" t="s">
        <v>36</v>
      </c>
      <c r="B56" s="1">
        <v>45579</v>
      </c>
      <c r="C56" s="1">
        <v>45580</v>
      </c>
      <c r="D56" t="str">
        <f>TEXT(OrdersYigaelIsrael[[#This Row],[Sell Date]],"yyyy-mm")</f>
        <v>2024-10</v>
      </c>
      <c r="E56" s="2">
        <v>744.89</v>
      </c>
      <c r="F56" s="2">
        <v>753.8</v>
      </c>
      <c r="G56" s="21">
        <v>6693</v>
      </c>
      <c r="H56">
        <f>OrdersYigaelIsrael[[#This Row],[Buy Price]]*OrdersYigaelIsrael[[#This Row],[Amount]]/100</f>
        <v>49855.487699999998</v>
      </c>
      <c r="I56">
        <f>OrdersYigaelIsrael[[#This Row],[Sell Price]]*OrdersYigaelIsrael[[#This Row],[Amount]]/100</f>
        <v>50451.833999999995</v>
      </c>
      <c r="J56">
        <f>(OrdersYigaelIsrael[[#This Row],[Buy Value]]+OrdersYigaelIsrael[[#This Row],[Sell Value]])*0.0007</f>
        <v>70.215125189999995</v>
      </c>
      <c r="K56" s="19">
        <f>(OrdersYigaelIsrael[[#This Row],[Sell Value]]-OrdersYigaelIsrael[[#This Row],[Buy Value]]-OrdersYigaelIsrael[[#This Row],[Commission]]+OrdersYigaelIsrael[[#This Row],[Dividand]])/OrdersYigaelIsrael[[#This Row],[Buy Value]]</f>
        <v>1.0553124622427421E-2</v>
      </c>
      <c r="M56">
        <f>OrdersYigaelIsrael[[#This Row],[Sell Value]]-OrdersYigaelIsrael[[#This Row],[Buy Value]]+OrdersYigaelIsrael[[#This Row],[Dividand]]-OrdersYigaelIsrael[[#This Row],[Commission]]</f>
        <v>526.13117480999745</v>
      </c>
      <c r="N56">
        <f>SUM(INDEX(OrdersYigaelIsrael[P&amp;L],1):OrdersYigaelIsrael[[#This Row],[P&amp;L]])</f>
        <v>-22231.468569638168</v>
      </c>
    </row>
    <row r="57" spans="1:14" x14ac:dyDescent="0.25">
      <c r="A57" t="s">
        <v>17</v>
      </c>
      <c r="B57" s="1">
        <v>45579</v>
      </c>
      <c r="C57" s="1">
        <v>45580</v>
      </c>
      <c r="D57" t="str">
        <f>TEXT(OrdersYigaelIsrael[[#This Row],[Sell Date]],"yyyy-mm")</f>
        <v>2024-10</v>
      </c>
      <c r="E57">
        <v>3597.5</v>
      </c>
      <c r="F57" s="2">
        <v>3595</v>
      </c>
      <c r="G57" s="21">
        <v>13902</v>
      </c>
      <c r="H57">
        <f>OrdersYigaelIsrael[[#This Row],[Buy Price]]*OrdersYigaelIsrael[[#This Row],[Amount]]/100</f>
        <v>500124.45</v>
      </c>
      <c r="I57">
        <f>OrdersYigaelIsrael[[#This Row],[Sell Price]]*OrdersYigaelIsrael[[#This Row],[Amount]]/100</f>
        <v>499776.9</v>
      </c>
      <c r="J57">
        <f>(OrdersYigaelIsrael[[#This Row],[Buy Value]]+OrdersYigaelIsrael[[#This Row],[Sell Value]])*0.0007</f>
        <v>699.93094500000007</v>
      </c>
      <c r="K57" s="19">
        <f>(OrdersYigaelIsrael[[#This Row],[Sell Value]]-OrdersYigaelIsrael[[#This Row],[Buy Value]]-OrdersYigaelIsrael[[#This Row],[Commission]]+OrdersYigaelIsrael[[#This Row],[Dividand]])/OrdersYigaelIsrael[[#This Row],[Buy Value]]</f>
        <v>-2.0944405837386841E-3</v>
      </c>
      <c r="M57">
        <f>OrdersYigaelIsrael[[#This Row],[Sell Value]]-OrdersYigaelIsrael[[#This Row],[Buy Value]]+OrdersYigaelIsrael[[#This Row],[Dividand]]-OrdersYigaelIsrael[[#This Row],[Commission]]</f>
        <v>-1047.4809449999884</v>
      </c>
      <c r="N57">
        <f>SUM(INDEX(OrdersYigaelIsrael[P&amp;L],1):OrdersYigaelIsrael[[#This Row],[P&amp;L]])</f>
        <v>-23278.949514638156</v>
      </c>
    </row>
    <row r="58" spans="1:14" x14ac:dyDescent="0.25">
      <c r="A58" t="s">
        <v>17</v>
      </c>
      <c r="B58" s="1">
        <v>45580</v>
      </c>
      <c r="C58" s="1">
        <v>45585</v>
      </c>
      <c r="D58" t="str">
        <f>TEXT(OrdersYigaelIsrael[[#This Row],[Sell Date]],"yyyy-mm")</f>
        <v>2024-10</v>
      </c>
      <c r="E58" s="2">
        <v>3608</v>
      </c>
      <c r="F58" s="2">
        <v>3673</v>
      </c>
      <c r="G58" s="21">
        <v>14412</v>
      </c>
      <c r="H58">
        <f>OrdersYigaelIsrael[[#This Row],[Buy Price]]*OrdersYigaelIsrael[[#This Row],[Amount]]/100</f>
        <v>519984.96</v>
      </c>
      <c r="I58">
        <f>OrdersYigaelIsrael[[#This Row],[Sell Price]]*OrdersYigaelIsrael[[#This Row],[Amount]]/100</f>
        <v>529352.76</v>
      </c>
      <c r="J58">
        <f>(OrdersYigaelIsrael[[#This Row],[Buy Value]]+OrdersYigaelIsrael[[#This Row],[Sell Value]])*0.0007</f>
        <v>734.53640399999995</v>
      </c>
      <c r="K58" s="19">
        <f>(OrdersYigaelIsrael[[#This Row],[Sell Value]]-OrdersYigaelIsrael[[#This Row],[Buy Value]]-OrdersYigaelIsrael[[#This Row],[Commission]]+OrdersYigaelIsrael[[#This Row],[Dividand]])/OrdersYigaelIsrael[[#This Row],[Buy Value]]</f>
        <v>1.6602910199556516E-2</v>
      </c>
      <c r="M58">
        <f>OrdersYigaelIsrael[[#This Row],[Sell Value]]-OrdersYigaelIsrael[[#This Row],[Buy Value]]+OrdersYigaelIsrael[[#This Row],[Dividand]]-OrdersYigaelIsrael[[#This Row],[Commission]]</f>
        <v>8633.263595999988</v>
      </c>
      <c r="N58">
        <f>SUM(INDEX(OrdersYigaelIsrael[P&amp;L],1):OrdersYigaelIsrael[[#This Row],[P&amp;L]])</f>
        <v>-14645.685918638168</v>
      </c>
    </row>
    <row r="59" spans="1:14" x14ac:dyDescent="0.25">
      <c r="A59" t="s">
        <v>35</v>
      </c>
      <c r="B59" s="1">
        <v>45580</v>
      </c>
      <c r="C59" s="1">
        <v>45585</v>
      </c>
      <c r="D59" t="str">
        <f>TEXT(OrdersYigaelIsrael[[#This Row],[Sell Date]],"yyyy-mm")</f>
        <v>2024-10</v>
      </c>
      <c r="E59" s="2" t="s">
        <v>37</v>
      </c>
      <c r="F59" s="2">
        <v>6877</v>
      </c>
      <c r="G59" s="21">
        <v>1347</v>
      </c>
      <c r="H59" s="2" t="s">
        <v>37</v>
      </c>
      <c r="I59">
        <v>92701.96</v>
      </c>
      <c r="K59" s="19"/>
      <c r="M59">
        <v>2500</v>
      </c>
      <c r="N59">
        <f>SUM(INDEX(OrdersYigaelIsrael[P&amp;L],1):OrdersYigaelIsrael[[#This Row],[P&amp;L]])</f>
        <v>-12145.685918638168</v>
      </c>
    </row>
    <row r="60" spans="1:14" x14ac:dyDescent="0.25">
      <c r="A60" t="s">
        <v>36</v>
      </c>
      <c r="B60" s="1">
        <v>45585</v>
      </c>
      <c r="C60" s="1">
        <v>45585</v>
      </c>
      <c r="D60" t="str">
        <f>TEXT(OrdersYigaelIsrael[[#This Row],[Sell Date]],"yyyy-mm")</f>
        <v>2024-10</v>
      </c>
      <c r="E60" s="2">
        <v>767.9</v>
      </c>
      <c r="F60" s="2">
        <v>814</v>
      </c>
      <c r="G60" s="21">
        <v>19533</v>
      </c>
      <c r="H60">
        <f>OrdersYigaelIsrael[[#This Row],[Buy Price]]*OrdersYigaelIsrael[[#This Row],[Amount]]/100</f>
        <v>149993.90700000001</v>
      </c>
      <c r="I60">
        <f>OrdersYigaelIsrael[[#This Row],[Sell Price]]*OrdersYigaelIsrael[[#This Row],[Amount]]/100</f>
        <v>158998.62</v>
      </c>
      <c r="J60">
        <f>(OrdersYigaelIsrael[[#This Row],[Buy Value]]+OrdersYigaelIsrael[[#This Row],[Sell Value]])*0.0007</f>
        <v>216.29476890000001</v>
      </c>
      <c r="K60" s="19">
        <f>(OrdersYigaelIsrael[[#This Row],[Sell Value]]-OrdersYigaelIsrael[[#This Row],[Buy Value]]-OrdersYigaelIsrael[[#This Row],[Commission]]+OrdersYigaelIsrael[[#This Row],[Dividand]])/OrdersYigaelIsrael[[#This Row],[Buy Value]]</f>
        <v>5.8591834874332525E-2</v>
      </c>
      <c r="M60">
        <f>OrdersYigaelIsrael[[#This Row],[Sell Value]]-OrdersYigaelIsrael[[#This Row],[Buy Value]]+OrdersYigaelIsrael[[#This Row],[Dividand]]-OrdersYigaelIsrael[[#This Row],[Commission]]</f>
        <v>8788.4182310999895</v>
      </c>
      <c r="N60">
        <f>SUM(INDEX(OrdersYigaelIsrael[P&amp;L],1):OrdersYigaelIsrael[[#This Row],[P&amp;L]])</f>
        <v>-3357.2676875381785</v>
      </c>
    </row>
    <row r="61" spans="1:14" x14ac:dyDescent="0.25">
      <c r="A61" t="s">
        <v>38</v>
      </c>
      <c r="B61" s="1">
        <v>45593</v>
      </c>
      <c r="C61" s="1">
        <v>45602</v>
      </c>
      <c r="D61" t="str">
        <f>TEXT(OrdersYigaelIsrael[[#This Row],[Sell Date]],"yyyy-mm")</f>
        <v>2024-11</v>
      </c>
      <c r="E61" s="2">
        <v>757.85</v>
      </c>
      <c r="F61" s="2">
        <v>790.25</v>
      </c>
      <c r="G61" s="21">
        <v>32981</v>
      </c>
      <c r="H61">
        <f>OrdersYigaelIsrael[[#This Row],[Buy Price]]*OrdersYigaelIsrael[[#This Row],[Amount]]/100</f>
        <v>249946.50850000003</v>
      </c>
      <c r="I61">
        <f>OrdersYigaelIsrael[[#This Row],[Sell Price]]*OrdersYigaelIsrael[[#This Row],[Amount]]/100</f>
        <v>260632.35250000001</v>
      </c>
      <c r="J61">
        <f>(OrdersYigaelIsrael[[#This Row],[Buy Value]]+OrdersYigaelIsrael[[#This Row],[Sell Value]])*0.0007</f>
        <v>357.40520270000002</v>
      </c>
      <c r="K61" s="19">
        <f>(OrdersYigaelIsrael[[#This Row],[Sell Value]]-OrdersYigaelIsrael[[#This Row],[Buy Value]]-OrdersYigaelIsrael[[#This Row],[Commission]]+OrdersYigaelIsrael[[#This Row],[Dividand]])/OrdersYigaelIsrael[[#This Row],[Buy Value]]</f>
        <v>4.1322596819951103E-2</v>
      </c>
      <c r="M61">
        <f>OrdersYigaelIsrael[[#This Row],[Sell Value]]-OrdersYigaelIsrael[[#This Row],[Buy Value]]+OrdersYigaelIsrael[[#This Row],[Dividand]]-OrdersYigaelIsrael[[#This Row],[Commission]]</f>
        <v>10328.438797299983</v>
      </c>
      <c r="N61">
        <f>SUM(INDEX(OrdersYigaelIsrael[P&amp;L],1):OrdersYigaelIsrael[[#This Row],[P&amp;L]])</f>
        <v>6971.1711097618045</v>
      </c>
    </row>
    <row r="62" spans="1:14" x14ac:dyDescent="0.25">
      <c r="A62" t="s">
        <v>39</v>
      </c>
      <c r="B62" s="1">
        <v>45580</v>
      </c>
      <c r="C62" s="1">
        <v>45603</v>
      </c>
      <c r="D62" t="str">
        <f>TEXT(OrdersYigaelIsrael[[#This Row],[Sell Date]],"yyyy-mm")</f>
        <v>2024-11</v>
      </c>
      <c r="E62" s="2">
        <v>15833.28</v>
      </c>
      <c r="F62" s="2">
        <v>16920</v>
      </c>
      <c r="G62" s="21">
        <v>1039</v>
      </c>
      <c r="H62">
        <f>OrdersYigaelIsrael[[#This Row],[Buy Price]]*OrdersYigaelIsrael[[#This Row],[Amount]]/100</f>
        <v>164507.77919999999</v>
      </c>
      <c r="I62">
        <f>OrdersYigaelIsrael[[#This Row],[Sell Price]]*OrdersYigaelIsrael[[#This Row],[Amount]]/100</f>
        <v>175798.8</v>
      </c>
      <c r="J62">
        <f>(OrdersYigaelIsrael[[#This Row],[Buy Value]]+OrdersYigaelIsrael[[#This Row],[Sell Value]])*0.0007</f>
        <v>238.21460543999999</v>
      </c>
      <c r="K62" s="19">
        <f>(OrdersYigaelIsrael[[#This Row],[Sell Value]]-OrdersYigaelIsrael[[#This Row],[Buy Value]]-OrdersYigaelIsrael[[#This Row],[Commission]]+OrdersYigaelIsrael[[#This Row],[Dividand]])/OrdersYigaelIsrael[[#This Row],[Buy Value]]</f>
        <v>6.7187133935609045E-2</v>
      </c>
      <c r="M62">
        <f>OrdersYigaelIsrael[[#This Row],[Sell Value]]-OrdersYigaelIsrael[[#This Row],[Buy Value]]+OrdersYigaelIsrael[[#This Row],[Dividand]]-OrdersYigaelIsrael[[#This Row],[Commission]]</f>
        <v>11052.806194559998</v>
      </c>
      <c r="N62">
        <f>SUM(INDEX(OrdersYigaelIsrael[P&amp;L],1):OrdersYigaelIsrael[[#This Row],[P&amp;L]])</f>
        <v>18023.977304321801</v>
      </c>
    </row>
    <row r="63" spans="1:14" x14ac:dyDescent="0.25">
      <c r="A63" t="s">
        <v>40</v>
      </c>
      <c r="B63" s="1">
        <v>45593</v>
      </c>
      <c r="C63" s="1">
        <v>45603</v>
      </c>
      <c r="D63" t="str">
        <f>TEXT(OrdersYigaelIsrael[[#This Row],[Sell Date]],"yyyy-mm")</f>
        <v>2024-11</v>
      </c>
      <c r="E63" s="2">
        <v>70723.55</v>
      </c>
      <c r="F63" s="2">
        <v>71770</v>
      </c>
      <c r="G63" s="21">
        <v>893</v>
      </c>
      <c r="H63">
        <f>OrdersYigaelIsrael[[#This Row],[Buy Price]]*OrdersYigaelIsrael[[#This Row],[Amount]]/100</f>
        <v>631561.30150000006</v>
      </c>
      <c r="I63">
        <f>OrdersYigaelIsrael[[#This Row],[Sell Price]]*OrdersYigaelIsrael[[#This Row],[Amount]]/100</f>
        <v>640906.1</v>
      </c>
      <c r="J63">
        <f>(OrdersYigaelIsrael[[#This Row],[Buy Value]]+OrdersYigaelIsrael[[#This Row],[Sell Value]])*0.0007</f>
        <v>890.72718105000013</v>
      </c>
      <c r="K63" s="19">
        <f>(OrdersYigaelIsrael[[#This Row],[Sell Value]]-OrdersYigaelIsrael[[#This Row],[Buy Value]]-OrdersYigaelIsrael[[#This Row],[Commission]]+OrdersYigaelIsrael[[#This Row],[Dividand]])/OrdersYigaelIsrael[[#This Row],[Buy Value]]</f>
        <v>1.3385986916663411E-2</v>
      </c>
      <c r="M63">
        <f>OrdersYigaelIsrael[[#This Row],[Sell Value]]-OrdersYigaelIsrael[[#This Row],[Buy Value]]+OrdersYigaelIsrael[[#This Row],[Dividand]]-OrdersYigaelIsrael[[#This Row],[Commission]]</f>
        <v>8454.0713189499165</v>
      </c>
      <c r="N63">
        <f>SUM(INDEX(OrdersYigaelIsrael[P&amp;L],1):OrdersYigaelIsrael[[#This Row],[P&amp;L]])</f>
        <v>26478.048623271716</v>
      </c>
    </row>
    <row r="64" spans="1:14" x14ac:dyDescent="0.25">
      <c r="A64" t="s">
        <v>19</v>
      </c>
      <c r="B64" s="1">
        <v>45602</v>
      </c>
      <c r="C64" s="1">
        <v>45603</v>
      </c>
      <c r="D64" t="str">
        <f>TEXT(OrdersYigaelIsrael[[#This Row],[Sell Date]],"yyyy-mm")</f>
        <v>2024-11</v>
      </c>
      <c r="E64" s="2">
        <v>86707.725999999995</v>
      </c>
      <c r="F64" s="2">
        <v>86040</v>
      </c>
      <c r="G64" s="21">
        <v>299</v>
      </c>
      <c r="H64">
        <f>OrdersYigaelIsrael[[#This Row],[Buy Price]]*OrdersYigaelIsrael[[#This Row],[Amount]]/100</f>
        <v>259256.10073999997</v>
      </c>
      <c r="I64">
        <f>OrdersYigaelIsrael[[#This Row],[Sell Price]]*OrdersYigaelIsrael[[#This Row],[Amount]]/100</f>
        <v>257259.6</v>
      </c>
      <c r="J64">
        <f>(OrdersYigaelIsrael[[#This Row],[Buy Value]]+OrdersYigaelIsrael[[#This Row],[Sell Value]])*0.0007</f>
        <v>361.56099051799998</v>
      </c>
      <c r="K64" s="19">
        <f>(OrdersYigaelIsrael[[#This Row],[Sell Value]]-OrdersYigaelIsrael[[#This Row],[Buy Value]]-OrdersYigaelIsrael[[#This Row],[Commission]]+OrdersYigaelIsrael[[#This Row],[Dividand]])/OrdersYigaelIsrael[[#This Row],[Buy Value]]</f>
        <v>-9.095491769672134E-3</v>
      </c>
      <c r="M64">
        <f>OrdersYigaelIsrael[[#This Row],[Sell Value]]-OrdersYigaelIsrael[[#This Row],[Buy Value]]+OrdersYigaelIsrael[[#This Row],[Dividand]]-OrdersYigaelIsrael[[#This Row],[Commission]]</f>
        <v>-2358.0617305179594</v>
      </c>
      <c r="N64">
        <f>SUM(INDEX(OrdersYigaelIsrael[P&amp;L],1):OrdersYigaelIsrael[[#This Row],[P&amp;L]])</f>
        <v>24119.986892753757</v>
      </c>
    </row>
    <row r="65" spans="1:14" x14ac:dyDescent="0.25">
      <c r="A65" t="s">
        <v>17</v>
      </c>
      <c r="B65" s="1">
        <v>45603</v>
      </c>
      <c r="C65" s="1">
        <v>45603</v>
      </c>
      <c r="D65" t="str">
        <f>TEXT(OrdersYigaelIsrael[[#This Row],[Sell Date]],"yyyy-mm")</f>
        <v>2024-11</v>
      </c>
      <c r="E65" s="2">
        <v>3857.0749999999998</v>
      </c>
      <c r="F65" s="2">
        <v>3877</v>
      </c>
      <c r="G65" s="21">
        <v>16978</v>
      </c>
      <c r="H65">
        <f>OrdersYigaelIsrael[[#This Row],[Buy Price]]*OrdersYigaelIsrael[[#This Row],[Amount]]/100</f>
        <v>654854.19349999994</v>
      </c>
      <c r="I65">
        <f>OrdersYigaelIsrael[[#This Row],[Sell Price]]*OrdersYigaelIsrael[[#This Row],[Amount]]/100</f>
        <v>658237.06000000006</v>
      </c>
      <c r="J65">
        <f>(OrdersYigaelIsrael[[#This Row],[Buy Value]]+OrdersYigaelIsrael[[#This Row],[Sell Value]])*0.0007</f>
        <v>919.16387745000009</v>
      </c>
      <c r="K65" s="19">
        <f>(OrdersYigaelIsrael[[#This Row],[Sell Value]]-OrdersYigaelIsrael[[#This Row],[Buy Value]]-OrdersYigaelIsrael[[#This Row],[Commission]]+OrdersYigaelIsrael[[#This Row],[Dividand]])/OrdersYigaelIsrael[[#This Row],[Buy Value]]</f>
        <v>3.762215538977258E-3</v>
      </c>
      <c r="M65">
        <f>OrdersYigaelIsrael[[#This Row],[Sell Value]]-OrdersYigaelIsrael[[#This Row],[Buy Value]]+OrdersYigaelIsrael[[#This Row],[Dividand]]-OrdersYigaelIsrael[[#This Row],[Commission]]</f>
        <v>2463.7026225501199</v>
      </c>
      <c r="N65">
        <f>SUM(INDEX(OrdersYigaelIsrael[P&amp;L],1):OrdersYigaelIsrael[[#This Row],[P&amp;L]])</f>
        <v>26583.689515303879</v>
      </c>
    </row>
    <row r="66" spans="1:14" x14ac:dyDescent="0.25">
      <c r="A66" t="s">
        <v>25</v>
      </c>
      <c r="B66" s="1">
        <v>45606</v>
      </c>
      <c r="C66" s="1">
        <v>45609</v>
      </c>
      <c r="D66" t="str">
        <f>TEXT(OrdersYigaelIsrael[[#This Row],[Sell Date]],"yyyy-mm")</f>
        <v>2024-11</v>
      </c>
      <c r="E66" s="2">
        <v>3828</v>
      </c>
      <c r="F66" s="2">
        <v>3856</v>
      </c>
      <c r="G66" s="21">
        <v>6530</v>
      </c>
      <c r="H66">
        <f>OrdersYigaelIsrael[[#This Row],[Buy Price]]*OrdersYigaelIsrael[[#This Row],[Amount]]/100</f>
        <v>249968.4</v>
      </c>
      <c r="I66">
        <f>OrdersYigaelIsrael[[#This Row],[Sell Price]]*OrdersYigaelIsrael[[#This Row],[Amount]]/100</f>
        <v>251796.8</v>
      </c>
      <c r="J66">
        <f>(OrdersYigaelIsrael[[#This Row],[Buy Value]]+OrdersYigaelIsrael[[#This Row],[Sell Value]])*0.0007</f>
        <v>351.23563999999999</v>
      </c>
      <c r="K66" s="19">
        <f>(OrdersYigaelIsrael[[#This Row],[Sell Value]]-OrdersYigaelIsrael[[#This Row],[Buy Value]]-OrdersYigaelIsrael[[#This Row],[Commission]]+OrdersYigaelIsrael[[#This Row],[Dividand]])/OrdersYigaelIsrael[[#This Row],[Buy Value]]</f>
        <v>5.9094043887147106E-3</v>
      </c>
      <c r="M66">
        <f>OrdersYigaelIsrael[[#This Row],[Sell Value]]-OrdersYigaelIsrael[[#This Row],[Buy Value]]+OrdersYigaelIsrael[[#This Row],[Dividand]]-OrdersYigaelIsrael[[#This Row],[Commission]]</f>
        <v>1477.1643599999943</v>
      </c>
      <c r="N66">
        <f>SUM(INDEX(OrdersYigaelIsrael[P&amp;L],1):OrdersYigaelIsrael[[#This Row],[P&amp;L]])</f>
        <v>28060.853875303874</v>
      </c>
    </row>
    <row r="67" spans="1:14" x14ac:dyDescent="0.25">
      <c r="A67" t="s">
        <v>19</v>
      </c>
      <c r="B67" s="1">
        <v>45606</v>
      </c>
      <c r="C67" s="1">
        <v>45609</v>
      </c>
      <c r="D67" t="str">
        <f>TEXT(OrdersYigaelIsrael[[#This Row],[Sell Date]],"yyyy-mm")</f>
        <v>2024-11</v>
      </c>
      <c r="E67" s="2">
        <v>87670.774000000005</v>
      </c>
      <c r="F67" s="2">
        <v>89410</v>
      </c>
      <c r="G67" s="21">
        <v>297</v>
      </c>
      <c r="H67">
        <f>OrdersYigaelIsrael[[#This Row],[Buy Price]]*OrdersYigaelIsrael[[#This Row],[Amount]]/100</f>
        <v>260382.19878000004</v>
      </c>
      <c r="I67">
        <f>OrdersYigaelIsrael[[#This Row],[Sell Price]]*OrdersYigaelIsrael[[#This Row],[Amount]]/100</f>
        <v>265547.7</v>
      </c>
      <c r="J67">
        <f>(OrdersYigaelIsrael[[#This Row],[Buy Value]]+OrdersYigaelIsrael[[#This Row],[Sell Value]])*0.0007</f>
        <v>368.15092914600001</v>
      </c>
      <c r="K67" s="19">
        <f>(OrdersYigaelIsrael[[#This Row],[Sell Value]]-OrdersYigaelIsrael[[#This Row],[Buy Value]]-OrdersYigaelIsrael[[#This Row],[Commission]]+OrdersYigaelIsrael[[#This Row],[Dividand]])/OrdersYigaelIsrael[[#This Row],[Buy Value]]</f>
        <v>1.8424263691341335E-2</v>
      </c>
      <c r="M67">
        <f>OrdersYigaelIsrael[[#This Row],[Sell Value]]-OrdersYigaelIsrael[[#This Row],[Buy Value]]+OrdersYigaelIsrael[[#This Row],[Dividand]]-OrdersYigaelIsrael[[#This Row],[Commission]]</f>
        <v>4797.3502908539767</v>
      </c>
      <c r="N67">
        <f>SUM(INDEX(OrdersYigaelIsrael[P&amp;L],1):OrdersYigaelIsrael[[#This Row],[P&amp;L]])</f>
        <v>32858.204166157848</v>
      </c>
    </row>
    <row r="68" spans="1:14" x14ac:dyDescent="0.25">
      <c r="A68" t="s">
        <v>35</v>
      </c>
      <c r="B68" s="1">
        <v>45606</v>
      </c>
      <c r="C68" s="1">
        <v>45609</v>
      </c>
      <c r="D68" t="str">
        <f>TEXT(OrdersYigaelIsrael[[#This Row],[Sell Date]],"yyyy-mm")</f>
        <v>2024-11</v>
      </c>
      <c r="E68" s="2">
        <v>6473.4979999999996</v>
      </c>
      <c r="F68" s="2">
        <v>6457</v>
      </c>
      <c r="G68" s="21">
        <v>4633</v>
      </c>
      <c r="H68">
        <f>OrdersYigaelIsrael[[#This Row],[Buy Price]]*OrdersYigaelIsrael[[#This Row],[Amount]]/100</f>
        <v>299917.16233999998</v>
      </c>
      <c r="I68">
        <f>OrdersYigaelIsrael[[#This Row],[Sell Price]]*OrdersYigaelIsrael[[#This Row],[Amount]]/100</f>
        <v>299152.81</v>
      </c>
      <c r="J68">
        <f>(OrdersYigaelIsrael[[#This Row],[Buy Value]]+OrdersYigaelIsrael[[#This Row],[Sell Value]])*0.0007</f>
        <v>419.348980638</v>
      </c>
      <c r="K68" s="19">
        <f>(OrdersYigaelIsrael[[#This Row],[Sell Value]]-OrdersYigaelIsrael[[#This Row],[Buy Value]]-OrdersYigaelIsrael[[#This Row],[Commission]]+OrdersYigaelIsrael[[#This Row],[Dividand]])/OrdersYigaelIsrael[[#This Row],[Buy Value]]</f>
        <v>-3.9467608702435123E-3</v>
      </c>
      <c r="M68">
        <f>OrdersYigaelIsrael[[#This Row],[Sell Value]]-OrdersYigaelIsrael[[#This Row],[Buy Value]]+OrdersYigaelIsrael[[#This Row],[Dividand]]-OrdersYigaelIsrael[[#This Row],[Commission]]</f>
        <v>-1183.7013206379831</v>
      </c>
      <c r="N68">
        <f>SUM(INDEX(OrdersYigaelIsrael[P&amp;L],1):OrdersYigaelIsrael[[#This Row],[P&amp;L]])</f>
        <v>31674.502845519866</v>
      </c>
    </row>
    <row r="69" spans="1:14" x14ac:dyDescent="0.25">
      <c r="A69" t="s">
        <v>17</v>
      </c>
      <c r="B69" s="1">
        <v>45607</v>
      </c>
      <c r="C69" s="1">
        <v>45609</v>
      </c>
      <c r="D69" t="str">
        <f>TEXT(OrdersYigaelIsrael[[#This Row],[Sell Date]],"yyyy-mm")</f>
        <v>2024-11</v>
      </c>
      <c r="E69" s="2">
        <v>3949.69</v>
      </c>
      <c r="F69" s="2">
        <v>4044</v>
      </c>
      <c r="G69" s="21">
        <v>6497</v>
      </c>
      <c r="H69">
        <f>OrdersYigaelIsrael[[#This Row],[Buy Price]]*OrdersYigaelIsrael[[#This Row],[Amount]]/100</f>
        <v>256611.35930000001</v>
      </c>
      <c r="I69">
        <f>OrdersYigaelIsrael[[#This Row],[Sell Price]]*OrdersYigaelIsrael[[#This Row],[Amount]]/100</f>
        <v>262738.68</v>
      </c>
      <c r="J69">
        <f>(OrdersYigaelIsrael[[#This Row],[Buy Value]]+OrdersYigaelIsrael[[#This Row],[Sell Value]])*0.0007</f>
        <v>363.54502751000001</v>
      </c>
      <c r="K69" s="19">
        <f>(OrdersYigaelIsrael[[#This Row],[Sell Value]]-OrdersYigaelIsrael[[#This Row],[Buy Value]]-OrdersYigaelIsrael[[#This Row],[Commission]]+OrdersYigaelIsrael[[#This Row],[Dividand]])/OrdersYigaelIsrael[[#This Row],[Buy Value]]</f>
        <v>2.2461108846516996E-2</v>
      </c>
      <c r="M69">
        <f>OrdersYigaelIsrael[[#This Row],[Sell Value]]-OrdersYigaelIsrael[[#This Row],[Buy Value]]+OrdersYigaelIsrael[[#This Row],[Dividand]]-OrdersYigaelIsrael[[#This Row],[Commission]]</f>
        <v>5763.7756724899818</v>
      </c>
      <c r="N69">
        <f>SUM(INDEX(OrdersYigaelIsrael[P&amp;L],1):OrdersYigaelIsrael[[#This Row],[P&amp;L]])</f>
        <v>37438.278518009851</v>
      </c>
    </row>
    <row r="70" spans="1:14" x14ac:dyDescent="0.25">
      <c r="A70" t="s">
        <v>23</v>
      </c>
      <c r="B70" s="1">
        <v>45609</v>
      </c>
      <c r="C70" s="1">
        <v>45610</v>
      </c>
      <c r="D70" t="str">
        <f>TEXT(OrdersYigaelIsrael[[#This Row],[Sell Date]],"yyyy-mm")</f>
        <v>2024-11</v>
      </c>
      <c r="E70" s="2">
        <v>2314.4699999999998</v>
      </c>
      <c r="F70" s="2">
        <v>2318.61</v>
      </c>
      <c r="G70" s="21">
        <v>23758</v>
      </c>
      <c r="H70">
        <f>OrdersYigaelIsrael[[#This Row],[Buy Price]]*OrdersYigaelIsrael[[#This Row],[Amount]]/100</f>
        <v>549871.78260000004</v>
      </c>
      <c r="I70">
        <f>OrdersYigaelIsrael[[#This Row],[Sell Price]]*OrdersYigaelIsrael[[#This Row],[Amount]]/100</f>
        <v>550855.36380000005</v>
      </c>
      <c r="J70">
        <f>(OrdersYigaelIsrael[[#This Row],[Buy Value]]+OrdersYigaelIsrael[[#This Row],[Sell Value]])*0.0007</f>
        <v>770.50900247999994</v>
      </c>
      <c r="K70" s="19">
        <f>(OrdersYigaelIsrael[[#This Row],[Sell Value]]-OrdersYigaelIsrael[[#This Row],[Buy Value]]-OrdersYigaelIsrael[[#This Row],[Commission]]+OrdersYigaelIsrael[[#This Row],[Dividand]])/OrdersYigaelIsrael[[#This Row],[Buy Value]]</f>
        <v>3.874943291552985E-4</v>
      </c>
      <c r="M70">
        <f>OrdersYigaelIsrael[[#This Row],[Sell Value]]-OrdersYigaelIsrael[[#This Row],[Buy Value]]+OrdersYigaelIsrael[[#This Row],[Dividand]]-OrdersYigaelIsrael[[#This Row],[Commission]]</f>
        <v>213.07219752001515</v>
      </c>
      <c r="N70">
        <f>SUM(INDEX(OrdersYigaelIsrael[P&amp;L],1):OrdersYigaelIsrael[[#This Row],[P&amp;L]])</f>
        <v>37651.350715529865</v>
      </c>
    </row>
    <row r="71" spans="1:14" x14ac:dyDescent="0.25">
      <c r="A71" t="s">
        <v>25</v>
      </c>
      <c r="B71" s="1">
        <v>45613</v>
      </c>
      <c r="C71" s="1">
        <v>45613</v>
      </c>
      <c r="D71" t="str">
        <f>TEXT(OrdersYigaelIsrael[[#This Row],[Sell Date]],"yyyy-mm")</f>
        <v>2024-11</v>
      </c>
      <c r="E71" s="2">
        <v>4022.68</v>
      </c>
      <c r="F71" s="2">
        <v>4090.2429999999999</v>
      </c>
      <c r="G71" s="21">
        <v>1716</v>
      </c>
      <c r="H71">
        <f>OrdersYigaelIsrael[[#This Row],[Buy Price]]*OrdersYigaelIsrael[[#This Row],[Amount]]/100</f>
        <v>69029.188800000004</v>
      </c>
      <c r="I71">
        <f>OrdersYigaelIsrael[[#This Row],[Sell Price]]*OrdersYigaelIsrael[[#This Row],[Amount]]/100</f>
        <v>70188.569879999995</v>
      </c>
      <c r="J71">
        <f>(OrdersYigaelIsrael[[#This Row],[Buy Value]]+OrdersYigaelIsrael[[#This Row],[Sell Value]])*0.0007</f>
        <v>97.452431075999996</v>
      </c>
      <c r="K71" s="19">
        <f>(OrdersYigaelIsrael[[#This Row],[Sell Value]]-OrdersYigaelIsrael[[#This Row],[Buy Value]]-OrdersYigaelIsrael[[#This Row],[Commission]]+OrdersYigaelIsrael[[#This Row],[Dividand]])/OrdersYigaelIsrael[[#This Row],[Buy Value]]</f>
        <v>1.5383762541390199E-2</v>
      </c>
      <c r="M71">
        <f>OrdersYigaelIsrael[[#This Row],[Sell Value]]-OrdersYigaelIsrael[[#This Row],[Buy Value]]+OrdersYigaelIsrael[[#This Row],[Dividand]]-OrdersYigaelIsrael[[#This Row],[Commission]]</f>
        <v>1061.9286489239919</v>
      </c>
      <c r="N71">
        <f>SUM(INDEX(OrdersYigaelIsrael[P&amp;L],1):OrdersYigaelIsrael[[#This Row],[P&amp;L]])</f>
        <v>38713.279364453854</v>
      </c>
    </row>
    <row r="72" spans="1:14" x14ac:dyDescent="0.25">
      <c r="A72" t="s">
        <v>32</v>
      </c>
      <c r="B72" s="1">
        <v>45609</v>
      </c>
      <c r="C72" s="1">
        <v>45616</v>
      </c>
      <c r="D72" t="str">
        <f>TEXT(OrdersYigaelIsrael[[#This Row],[Sell Date]],"yyyy-mm")</f>
        <v>2024-11</v>
      </c>
      <c r="E72" s="2">
        <v>17450</v>
      </c>
      <c r="F72" s="2">
        <v>17203.277999999998</v>
      </c>
      <c r="G72" s="21">
        <v>2865</v>
      </c>
      <c r="H72">
        <f>OrdersYigaelIsrael[[#This Row],[Buy Price]]*OrdersYigaelIsrael[[#This Row],[Amount]]/100</f>
        <v>499942.5</v>
      </c>
      <c r="I72">
        <f>OrdersYigaelIsrael[[#This Row],[Sell Price]]*OrdersYigaelIsrael[[#This Row],[Amount]]/100</f>
        <v>492873.91469999996</v>
      </c>
      <c r="J72">
        <f>(OrdersYigaelIsrael[[#This Row],[Buy Value]]+OrdersYigaelIsrael[[#This Row],[Sell Value]])*0.0007</f>
        <v>694.97149029000002</v>
      </c>
      <c r="K72" s="19">
        <f>(OrdersYigaelIsrael[[#This Row],[Sell Value]]-OrdersYigaelIsrael[[#This Row],[Buy Value]]-OrdersYigaelIsrael[[#This Row],[Commission]]+OrdersYigaelIsrael[[#This Row],[Dividand]])/OrdersYigaelIsrael[[#This Row],[Buy Value]]</f>
        <v>-1.5528899404011531E-2</v>
      </c>
      <c r="M72">
        <f>OrdersYigaelIsrael[[#This Row],[Sell Value]]-OrdersYigaelIsrael[[#This Row],[Buy Value]]+OrdersYigaelIsrael[[#This Row],[Dividand]]-OrdersYigaelIsrael[[#This Row],[Commission]]</f>
        <v>-7763.5567902900348</v>
      </c>
      <c r="N72">
        <f>SUM(INDEX(OrdersYigaelIsrael[P&amp;L],1):OrdersYigaelIsrael[[#This Row],[P&amp;L]])</f>
        <v>30949.722574163818</v>
      </c>
    </row>
    <row r="73" spans="1:14" x14ac:dyDescent="0.25">
      <c r="A73" t="s">
        <v>30</v>
      </c>
      <c r="B73" s="1">
        <v>45610</v>
      </c>
      <c r="C73" s="1">
        <v>45616</v>
      </c>
      <c r="D73" t="str">
        <f>TEXT(OrdersYigaelIsrael[[#This Row],[Sell Date]],"yyyy-mm")</f>
        <v>2024-11</v>
      </c>
      <c r="E73" s="2">
        <v>15994.617</v>
      </c>
      <c r="F73" s="2">
        <v>15950</v>
      </c>
      <c r="G73" s="21">
        <v>3567</v>
      </c>
      <c r="H73">
        <f>OrdersYigaelIsrael[[#This Row],[Buy Price]]*OrdersYigaelIsrael[[#This Row],[Amount]]/100</f>
        <v>570527.98839000007</v>
      </c>
      <c r="I73">
        <f>OrdersYigaelIsrael[[#This Row],[Sell Price]]*OrdersYigaelIsrael[[#This Row],[Amount]]/100</f>
        <v>568936.5</v>
      </c>
      <c r="J73">
        <f>(OrdersYigaelIsrael[[#This Row],[Buy Value]]+OrdersYigaelIsrael[[#This Row],[Sell Value]])*0.0007</f>
        <v>797.62514187300008</v>
      </c>
      <c r="K73" s="19">
        <f>(OrdersYigaelIsrael[[#This Row],[Sell Value]]-OrdersYigaelIsrael[[#This Row],[Buy Value]]-OrdersYigaelIsrael[[#This Row],[Commission]]+OrdersYigaelIsrael[[#This Row],[Dividand]])/OrdersYigaelIsrael[[#This Row],[Buy Value]]</f>
        <v>-4.1875483420454511E-3</v>
      </c>
      <c r="M73">
        <f>OrdersYigaelIsrael[[#This Row],[Sell Value]]-OrdersYigaelIsrael[[#This Row],[Buy Value]]+OrdersYigaelIsrael[[#This Row],[Dividand]]-OrdersYigaelIsrael[[#This Row],[Commission]]</f>
        <v>-2389.1135318730712</v>
      </c>
      <c r="N73">
        <f>SUM(INDEX(OrdersYigaelIsrael[P&amp;L],1):OrdersYigaelIsrael[[#This Row],[P&amp;L]])</f>
        <v>28560.609042290747</v>
      </c>
    </row>
    <row r="74" spans="1:14" x14ac:dyDescent="0.25">
      <c r="A74" t="s">
        <v>27</v>
      </c>
      <c r="B74" s="1">
        <v>45616</v>
      </c>
      <c r="C74" s="1">
        <v>45617</v>
      </c>
      <c r="D74" t="str">
        <f>TEXT(OrdersYigaelIsrael[[#This Row],[Sell Date]],"yyyy-mm")</f>
        <v>2024-11</v>
      </c>
      <c r="E74" s="2">
        <v>4191</v>
      </c>
      <c r="F74" s="2">
        <v>4158</v>
      </c>
      <c r="G74" s="21">
        <v>11930</v>
      </c>
      <c r="H74">
        <f>OrdersYigaelIsrael[[#This Row],[Buy Price]]*OrdersYigaelIsrael[[#This Row],[Amount]]/100</f>
        <v>499986.3</v>
      </c>
      <c r="I74">
        <f>OrdersYigaelIsrael[[#This Row],[Sell Price]]*OrdersYigaelIsrael[[#This Row],[Amount]]/100</f>
        <v>496049.4</v>
      </c>
      <c r="J74">
        <f>(OrdersYigaelIsrael[[#This Row],[Buy Value]]+OrdersYigaelIsrael[[#This Row],[Sell Value]])*0.0007</f>
        <v>697.22498999999993</v>
      </c>
      <c r="K74" s="19">
        <f>(OrdersYigaelIsrael[[#This Row],[Sell Value]]-OrdersYigaelIsrael[[#This Row],[Buy Value]]-OrdersYigaelIsrael[[#This Row],[Commission]]+OrdersYigaelIsrael[[#This Row],[Dividand]])/OrdersYigaelIsrael[[#This Row],[Buy Value]]</f>
        <v>-9.2685039370078038E-3</v>
      </c>
      <c r="M74">
        <f>OrdersYigaelIsrael[[#This Row],[Sell Value]]-OrdersYigaelIsrael[[#This Row],[Buy Value]]+OrdersYigaelIsrael[[#This Row],[Dividand]]-OrdersYigaelIsrael[[#This Row],[Commission]]</f>
        <v>-4634.1249899999648</v>
      </c>
      <c r="N74">
        <f>SUM(INDEX(OrdersYigaelIsrael[P&amp;L],1):OrdersYigaelIsrael[[#This Row],[P&amp;L]])</f>
        <v>23926.484052290783</v>
      </c>
    </row>
    <row r="75" spans="1:14" x14ac:dyDescent="0.25">
      <c r="A75" t="s">
        <v>23</v>
      </c>
      <c r="B75" s="1">
        <v>45616</v>
      </c>
      <c r="C75" s="1">
        <v>45617</v>
      </c>
      <c r="D75" t="str">
        <f>TEXT(OrdersYigaelIsrael[[#This Row],[Sell Date]],"yyyy-mm")</f>
        <v>2024-11</v>
      </c>
      <c r="E75" s="2">
        <v>2367.9679999999998</v>
      </c>
      <c r="F75" s="2">
        <v>2369.3870000000002</v>
      </c>
      <c r="G75" s="21">
        <v>24055</v>
      </c>
      <c r="H75">
        <f>OrdersYigaelIsrael[[#This Row],[Buy Price]]*OrdersYigaelIsrael[[#This Row],[Amount]]/100</f>
        <v>569614.70239999995</v>
      </c>
      <c r="I75">
        <f>OrdersYigaelIsrael[[#This Row],[Sell Price]]*OrdersYigaelIsrael[[#This Row],[Amount]]/100</f>
        <v>569956.04285000009</v>
      </c>
      <c r="J75">
        <f>(OrdersYigaelIsrael[[#This Row],[Buy Value]]+OrdersYigaelIsrael[[#This Row],[Sell Value]])*0.0007</f>
        <v>797.69952167500014</v>
      </c>
      <c r="K75" s="19">
        <f>(OrdersYigaelIsrael[[#This Row],[Sell Value]]-OrdersYigaelIsrael[[#This Row],[Buy Value]]-OrdersYigaelIsrael[[#This Row],[Commission]]+OrdersYigaelIsrael[[#This Row],[Dividand]])/OrdersYigaelIsrael[[#This Row],[Buy Value]]</f>
        <v>-8.0117151076342357E-4</v>
      </c>
      <c r="M75">
        <f>OrdersYigaelIsrael[[#This Row],[Sell Value]]-OrdersYigaelIsrael[[#This Row],[Buy Value]]+OrdersYigaelIsrael[[#This Row],[Dividand]]-OrdersYigaelIsrael[[#This Row],[Commission]]</f>
        <v>-456.35907167486585</v>
      </c>
      <c r="N75">
        <f>SUM(INDEX(OrdersYigaelIsrael[P&amp;L],1):OrdersYigaelIsrael[[#This Row],[P&amp;L]])</f>
        <v>23470.124980615918</v>
      </c>
    </row>
    <row r="76" spans="1:14" x14ac:dyDescent="0.25">
      <c r="A76" t="s">
        <v>27</v>
      </c>
      <c r="B76" s="1">
        <v>45617</v>
      </c>
      <c r="C76" s="1">
        <v>45623</v>
      </c>
      <c r="D76" t="str">
        <f>TEXT(OrdersYigaelIsrael[[#This Row],[Sell Date]],"yyyy-mm")</f>
        <v>2024-11</v>
      </c>
      <c r="E76" s="2">
        <v>4188.4139999999998</v>
      </c>
      <c r="F76" s="2">
        <v>4257.7510000000002</v>
      </c>
      <c r="G76" s="21">
        <v>12652</v>
      </c>
      <c r="H76">
        <f>OrdersYigaelIsrael[[#This Row],[Buy Price]]*OrdersYigaelIsrael[[#This Row],[Amount]]/100</f>
        <v>529918.13928</v>
      </c>
      <c r="I76">
        <f>OrdersYigaelIsrael[[#This Row],[Sell Price]]*OrdersYigaelIsrael[[#This Row],[Amount]]/100</f>
        <v>538690.65652000008</v>
      </c>
      <c r="J76">
        <f>(OrdersYigaelIsrael[[#This Row],[Buy Value]]+OrdersYigaelIsrael[[#This Row],[Sell Value]])*0.0007</f>
        <v>748.02615705999995</v>
      </c>
      <c r="K76" s="19">
        <f>(OrdersYigaelIsrael[[#This Row],[Sell Value]]-OrdersYigaelIsrael[[#This Row],[Buy Value]]-OrdersYigaelIsrael[[#This Row],[Commission]]+OrdersYigaelIsrael[[#This Row],[Dividand]])/OrdersYigaelIsrael[[#This Row],[Buy Value]]</f>
        <v>2.2032612619759639E-2</v>
      </c>
      <c r="L76">
        <v>3650.99</v>
      </c>
      <c r="M76">
        <f>OrdersYigaelIsrael[[#This Row],[Sell Value]]-OrdersYigaelIsrael[[#This Row],[Buy Value]]+OrdersYigaelIsrael[[#This Row],[Dividand]]-OrdersYigaelIsrael[[#This Row],[Commission]]</f>
        <v>11675.481082940074</v>
      </c>
      <c r="N76">
        <f>SUM(INDEX(OrdersYigaelIsrael[P&amp;L],1):OrdersYigaelIsrael[[#This Row],[P&amp;L]])</f>
        <v>35145.606063555992</v>
      </c>
    </row>
    <row r="77" spans="1:14" x14ac:dyDescent="0.25">
      <c r="A77" t="s">
        <v>23</v>
      </c>
      <c r="B77" s="1">
        <v>45617</v>
      </c>
      <c r="C77" s="1">
        <v>45624</v>
      </c>
      <c r="D77" t="str">
        <f>TEXT(OrdersYigaelIsrael[[#This Row],[Sell Date]],"yyyy-mm")</f>
        <v>2024-11</v>
      </c>
      <c r="E77" s="2">
        <v>2433.4430000000002</v>
      </c>
      <c r="F77" s="2">
        <v>2379.9740000000002</v>
      </c>
      <c r="G77" s="21">
        <v>43945</v>
      </c>
      <c r="H77">
        <f>OrdersYigaelIsrael[[#This Row],[Buy Price]]*OrdersYigaelIsrael[[#This Row],[Amount]]/100</f>
        <v>1069376.5263499999</v>
      </c>
      <c r="I77">
        <f>OrdersYigaelIsrael[[#This Row],[Sell Price]]*OrdersYigaelIsrael[[#This Row],[Amount]]/100</f>
        <v>1045879.5743000001</v>
      </c>
      <c r="J77">
        <f>(OrdersYigaelIsrael[[#This Row],[Buy Value]]+OrdersYigaelIsrael[[#This Row],[Sell Value]])*0.0007</f>
        <v>1480.6792704549998</v>
      </c>
      <c r="K77" s="19">
        <f>(OrdersYigaelIsrael[[#This Row],[Sell Value]]-OrdersYigaelIsrael[[#This Row],[Buy Value]]-OrdersYigaelIsrael[[#This Row],[Commission]]+OrdersYigaelIsrael[[#This Row],[Dividand]])/OrdersYigaelIsrael[[#This Row],[Buy Value]]</f>
        <v>-1.4852253559993105E-2</v>
      </c>
      <c r="L77" s="18">
        <v>9094.98</v>
      </c>
      <c r="M77">
        <f>OrdersYigaelIsrael[[#This Row],[Sell Value]]-OrdersYigaelIsrael[[#This Row],[Buy Value]]+OrdersYigaelIsrael[[#This Row],[Dividand]]-OrdersYigaelIsrael[[#This Row],[Commission]]</f>
        <v>-15882.651320454846</v>
      </c>
      <c r="N77">
        <f>SUM(INDEX(OrdersYigaelIsrael[P&amp;L],1):OrdersYigaelIsrael[[#This Row],[P&amp;L]])</f>
        <v>19262.954743101145</v>
      </c>
    </row>
    <row r="78" spans="1:14" x14ac:dyDescent="0.25">
      <c r="A78" t="s">
        <v>39</v>
      </c>
      <c r="B78" s="1">
        <v>45624</v>
      </c>
      <c r="C78" s="1">
        <v>45627</v>
      </c>
      <c r="D78" t="str">
        <f>TEXT(OrdersYigaelIsrael[[#This Row],[Sell Date]],"yyyy-mm")</f>
        <v>2024-12</v>
      </c>
      <c r="E78" s="2">
        <v>17122.663</v>
      </c>
      <c r="F78" s="2">
        <v>17500</v>
      </c>
      <c r="G78" s="21">
        <v>3211</v>
      </c>
      <c r="H78">
        <f>OrdersYigaelIsrael[[#This Row],[Buy Price]]*OrdersYigaelIsrael[[#This Row],[Amount]]/100</f>
        <v>549808.70892999996</v>
      </c>
      <c r="I78">
        <f>OrdersYigaelIsrael[[#This Row],[Sell Price]]*OrdersYigaelIsrael[[#This Row],[Amount]]/100</f>
        <v>561925</v>
      </c>
      <c r="J78">
        <f>(OrdersYigaelIsrael[[#This Row],[Buy Value]]+OrdersYigaelIsrael[[#This Row],[Sell Value]])*0.0007</f>
        <v>778.21359625100001</v>
      </c>
      <c r="K78" s="19">
        <f>(OrdersYigaelIsrael[[#This Row],[Sell Value]]-OrdersYigaelIsrael[[#This Row],[Buy Value]]-OrdersYigaelIsrael[[#This Row],[Commission]]+OrdersYigaelIsrael[[#This Row],[Dividand]])/OrdersYigaelIsrael[[#This Row],[Buy Value]]</f>
        <v>2.0621858638460683E-2</v>
      </c>
      <c r="L78" s="18"/>
      <c r="M78">
        <f>OrdersYigaelIsrael[[#This Row],[Sell Value]]-OrdersYigaelIsrael[[#This Row],[Buy Value]]+OrdersYigaelIsrael[[#This Row],[Dividand]]-OrdersYigaelIsrael[[#This Row],[Commission]]</f>
        <v>11338.077473749036</v>
      </c>
      <c r="N78">
        <f>SUM(INDEX(OrdersYigaelIsrael[P&amp;L],1):OrdersYigaelIsrael[[#This Row],[P&amp;L]])</f>
        <v>30601.032216850181</v>
      </c>
    </row>
    <row r="79" spans="1:14" x14ac:dyDescent="0.25">
      <c r="A79" t="s">
        <v>19</v>
      </c>
      <c r="B79" s="1">
        <v>45624</v>
      </c>
      <c r="C79" s="1">
        <v>45627</v>
      </c>
      <c r="D79" t="str">
        <f>TEXT(OrdersYigaelIsrael[[#This Row],[Sell Date]],"yyyy-mm")</f>
        <v>2024-12</v>
      </c>
      <c r="E79" s="2">
        <v>88648.672000000006</v>
      </c>
      <c r="F79" s="2">
        <v>89456.273000000001</v>
      </c>
      <c r="G79" s="21">
        <v>271</v>
      </c>
      <c r="H79">
        <f>OrdersYigaelIsrael[[#This Row],[Buy Price]]*OrdersYigaelIsrael[[#This Row],[Amount]]/100</f>
        <v>240237.90112000002</v>
      </c>
      <c r="I79">
        <f>OrdersYigaelIsrael[[#This Row],[Sell Price]]*OrdersYigaelIsrael[[#This Row],[Amount]]/100</f>
        <v>242426.49982999999</v>
      </c>
      <c r="J79">
        <f>(OrdersYigaelIsrael[[#This Row],[Buy Value]]+OrdersYigaelIsrael[[#This Row],[Sell Value]])*0.0007</f>
        <v>337.86508066500005</v>
      </c>
      <c r="K79" s="19">
        <f>(OrdersYigaelIsrael[[#This Row],[Sell Value]]-OrdersYigaelIsrael[[#This Row],[Buy Value]]-OrdersYigaelIsrael[[#This Row],[Commission]]+OrdersYigaelIsrael[[#This Row],[Dividand]])/OrdersYigaelIsrael[[#This Row],[Buy Value]]</f>
        <v>7.7037537403830021E-3</v>
      </c>
      <c r="L79" s="18"/>
      <c r="M79">
        <f>OrdersYigaelIsrael[[#This Row],[Sell Value]]-OrdersYigaelIsrael[[#This Row],[Buy Value]]+OrdersYigaelIsrael[[#This Row],[Dividand]]-OrdersYigaelIsrael[[#This Row],[Commission]]</f>
        <v>1850.733629334962</v>
      </c>
      <c r="N79">
        <f>SUM(INDEX(OrdersYigaelIsrael[P&amp;L],1):OrdersYigaelIsrael[[#This Row],[P&amp;L]])</f>
        <v>32451.765846185142</v>
      </c>
    </row>
    <row r="80" spans="1:14" x14ac:dyDescent="0.25">
      <c r="A80" t="s">
        <v>41</v>
      </c>
      <c r="B80" s="1">
        <v>45624</v>
      </c>
      <c r="C80" s="1">
        <v>45627</v>
      </c>
      <c r="D80" t="str">
        <f>TEXT(OrdersYigaelIsrael[[#This Row],[Sell Date]],"yyyy-mm")</f>
        <v>2024-12</v>
      </c>
      <c r="E80" s="2">
        <v>1131.9639999999999</v>
      </c>
      <c r="F80" s="2">
        <v>1165</v>
      </c>
      <c r="G80" s="21">
        <v>2112</v>
      </c>
      <c r="H80">
        <f>OrdersYigaelIsrael[[#This Row],[Buy Price]]*OrdersYigaelIsrael[[#This Row],[Amount]]/100</f>
        <v>23907.079679999999</v>
      </c>
      <c r="I80">
        <f>OrdersYigaelIsrael[[#This Row],[Sell Price]]*OrdersYigaelIsrael[[#This Row],[Amount]]/100</f>
        <v>24604.799999999999</v>
      </c>
      <c r="J80">
        <f>(OrdersYigaelIsrael[[#This Row],[Buy Value]]+OrdersYigaelIsrael[[#This Row],[Sell Value]])*0.0007</f>
        <v>33.958315775999999</v>
      </c>
      <c r="K80" s="19">
        <f>(OrdersYigaelIsrael[[#This Row],[Sell Value]]-OrdersYigaelIsrael[[#This Row],[Buy Value]]-OrdersYigaelIsrael[[#This Row],[Commission]]+OrdersYigaelIsrael[[#This Row],[Dividand]])/OrdersYigaelIsrael[[#This Row],[Buy Value]]</f>
        <v>2.7764244445936462E-2</v>
      </c>
      <c r="M80">
        <f>OrdersYigaelIsrael[[#This Row],[Sell Value]]-OrdersYigaelIsrael[[#This Row],[Buy Value]]+OrdersYigaelIsrael[[#This Row],[Dividand]]-OrdersYigaelIsrael[[#This Row],[Commission]]</f>
        <v>663.76200422400041</v>
      </c>
      <c r="N80">
        <f>SUM(INDEX(OrdersYigaelIsrael[P&amp;L],1):OrdersYigaelIsrael[[#This Row],[P&amp;L]])</f>
        <v>33115.52785040914</v>
      </c>
    </row>
    <row r="81" spans="1:17" x14ac:dyDescent="0.25">
      <c r="A81" t="s">
        <v>42</v>
      </c>
      <c r="B81" s="1">
        <v>45624</v>
      </c>
      <c r="C81" s="1">
        <v>45628</v>
      </c>
      <c r="D81" t="str">
        <f>TEXT(OrdersYigaelIsrael[[#This Row],[Sell Date]],"yyyy-mm")</f>
        <v>2024-12</v>
      </c>
      <c r="E81" s="2">
        <v>52143.574999999997</v>
      </c>
      <c r="F81" s="2">
        <v>52547.150999999998</v>
      </c>
      <c r="G81" s="21">
        <v>551</v>
      </c>
      <c r="H81">
        <f>OrdersYigaelIsrael[[#This Row],[Buy Price]]*OrdersYigaelIsrael[[#This Row],[Amount]]/100</f>
        <v>287311.09824999998</v>
      </c>
      <c r="I81">
        <f>OrdersYigaelIsrael[[#This Row],[Sell Price]]*OrdersYigaelIsrael[[#This Row],[Amount]]/100</f>
        <v>289534.80200999998</v>
      </c>
      <c r="J81">
        <f>(OrdersYigaelIsrael[[#This Row],[Buy Value]]+OrdersYigaelIsrael[[#This Row],[Sell Value]])*0.0007</f>
        <v>403.79213018199999</v>
      </c>
      <c r="K81" s="19">
        <f>(OrdersYigaelIsrael[[#This Row],[Sell Value]]-OrdersYigaelIsrael[[#This Row],[Buy Value]]-OrdersYigaelIsrael[[#This Row],[Commission]]+OrdersYigaelIsrael[[#This Row],[Dividand]])/OrdersYigaelIsrael[[#This Row],[Buy Value]]</f>
        <v>6.3342893501260843E-3</v>
      </c>
      <c r="M81">
        <f>OrdersYigaelIsrael[[#This Row],[Sell Value]]-OrdersYigaelIsrael[[#This Row],[Buy Value]]+OrdersYigaelIsrael[[#This Row],[Dividand]]-OrdersYigaelIsrael[[#This Row],[Commission]]</f>
        <v>1819.911629818004</v>
      </c>
      <c r="N81">
        <f>SUM(INDEX(OrdersYigaelIsrael[P&amp;L],1):OrdersYigaelIsrael[[#This Row],[P&amp;L]])</f>
        <v>34935.439480227142</v>
      </c>
    </row>
    <row r="82" spans="1:17" x14ac:dyDescent="0.25">
      <c r="A82" t="s">
        <v>39</v>
      </c>
      <c r="B82" s="1">
        <v>45628</v>
      </c>
      <c r="C82" s="1">
        <v>45631</v>
      </c>
      <c r="D82" t="str">
        <f>TEXT(OrdersYigaelIsrael[[#This Row],[Sell Date]],"yyyy-mm")</f>
        <v>2024-12</v>
      </c>
      <c r="E82" s="2">
        <v>17210</v>
      </c>
      <c r="F82" s="2">
        <v>17340.237000000001</v>
      </c>
      <c r="G82" s="21">
        <v>3076</v>
      </c>
      <c r="H82">
        <f>OrdersYigaelIsrael[[#This Row],[Buy Price]]*OrdersYigaelIsrael[[#This Row],[Amount]]/100</f>
        <v>529379.6</v>
      </c>
      <c r="I82">
        <f>OrdersYigaelIsrael[[#This Row],[Sell Price]]*OrdersYigaelIsrael[[#This Row],[Amount]]/100</f>
        <v>533385.69012000004</v>
      </c>
      <c r="J82">
        <f>(OrdersYigaelIsrael[[#This Row],[Buy Value]]+OrdersYigaelIsrael[[#This Row],[Sell Value]])*0.0007</f>
        <v>743.93570308400001</v>
      </c>
      <c r="K82" s="19">
        <f>(OrdersYigaelIsrael[[#This Row],[Sell Value]]-OrdersYigaelIsrael[[#This Row],[Buy Value]]-OrdersYigaelIsrael[[#This Row],[Commission]]+OrdersYigaelIsrael[[#This Row],[Dividand]])/OrdersYigaelIsrael[[#This Row],[Buy Value]]</f>
        <v>6.1622216211506186E-3</v>
      </c>
      <c r="M82">
        <f>OrdersYigaelIsrael[[#This Row],[Sell Value]]-OrdersYigaelIsrael[[#This Row],[Buy Value]]+OrdersYigaelIsrael[[#This Row],[Dividand]]-OrdersYigaelIsrael[[#This Row],[Commission]]</f>
        <v>3262.1544169160661</v>
      </c>
      <c r="N82">
        <f>SUM(INDEX(OrdersYigaelIsrael[P&amp;L],1):OrdersYigaelIsrael[[#This Row],[P&amp;L]])</f>
        <v>38197.593897143204</v>
      </c>
    </row>
    <row r="83" spans="1:17" x14ac:dyDescent="0.25">
      <c r="A83" t="s">
        <v>25</v>
      </c>
      <c r="B83" s="1">
        <v>45628</v>
      </c>
      <c r="C83" s="1">
        <v>45634</v>
      </c>
      <c r="D83" t="str">
        <f>TEXT(OrdersYigaelIsrael[[#This Row],[Sell Date]],"yyyy-mm")</f>
        <v>2024-12</v>
      </c>
      <c r="E83" s="2">
        <v>4452.3019999999997</v>
      </c>
      <c r="F83" s="2">
        <v>4541</v>
      </c>
      <c r="G83" s="21">
        <v>13027</v>
      </c>
      <c r="H83">
        <f>OrdersYigaelIsrael[[#This Row],[Buy Price]]*OrdersYigaelIsrael[[#This Row],[Amount]]/100</f>
        <v>580001.38153999997</v>
      </c>
      <c r="I83">
        <f>OrdersYigaelIsrael[[#This Row],[Sell Price]]*OrdersYigaelIsrael[[#This Row],[Amount]]/100</f>
        <v>591556.06999999995</v>
      </c>
      <c r="J83">
        <f>(OrdersYigaelIsrael[[#This Row],[Buy Value]]+OrdersYigaelIsrael[[#This Row],[Sell Value]])*0.0007</f>
        <v>820.09021607799991</v>
      </c>
      <c r="K83" s="19">
        <f>(OrdersYigaelIsrael[[#This Row],[Sell Value]]-OrdersYigaelIsrael[[#This Row],[Buy Value]]-OrdersYigaelIsrael[[#This Row],[Commission]]+OrdersYigaelIsrael[[#This Row],[Dividand]])/OrdersYigaelIsrael[[#This Row],[Buy Value]]</f>
        <v>1.8507883921620727E-2</v>
      </c>
      <c r="M83">
        <f>OrdersYigaelIsrael[[#This Row],[Sell Value]]-OrdersYigaelIsrael[[#This Row],[Buy Value]]+OrdersYigaelIsrael[[#This Row],[Dividand]]-OrdersYigaelIsrael[[#This Row],[Commission]]</f>
        <v>10734.598243921975</v>
      </c>
      <c r="N83">
        <f>SUM(INDEX(OrdersYigaelIsrael[P&amp;L],1):OrdersYigaelIsrael[[#This Row],[P&amp;L]])</f>
        <v>48932.192141065178</v>
      </c>
    </row>
    <row r="84" spans="1:17" x14ac:dyDescent="0.25">
      <c r="A84" t="s">
        <v>40</v>
      </c>
      <c r="B84" s="1">
        <v>45631</v>
      </c>
      <c r="C84" s="1">
        <v>45634</v>
      </c>
      <c r="D84" t="str">
        <f>TEXT(OrdersYigaelIsrael[[#This Row],[Sell Date]],"yyyy-mm")</f>
        <v>2024-12</v>
      </c>
      <c r="E84" s="2">
        <v>68052.607000000004</v>
      </c>
      <c r="F84" s="2">
        <v>69910</v>
      </c>
      <c r="G84" s="21">
        <v>514</v>
      </c>
      <c r="H84">
        <f>OrdersYigaelIsrael[[#This Row],[Buy Price]]*OrdersYigaelIsrael[[#This Row],[Amount]]/100</f>
        <v>349790.39998000005</v>
      </c>
      <c r="I84">
        <f>OrdersYigaelIsrael[[#This Row],[Sell Price]]*OrdersYigaelIsrael[[#This Row],[Amount]]/100</f>
        <v>359337.4</v>
      </c>
      <c r="J84">
        <f>(OrdersYigaelIsrael[[#This Row],[Buy Value]]+OrdersYigaelIsrael[[#This Row],[Sell Value]])*0.0007</f>
        <v>496.38945998600008</v>
      </c>
      <c r="K84" s="19">
        <f>(OrdersYigaelIsrael[[#This Row],[Sell Value]]-OrdersYigaelIsrael[[#This Row],[Buy Value]]-OrdersYigaelIsrael[[#This Row],[Commission]]+OrdersYigaelIsrael[[#This Row],[Dividand]])/OrdersYigaelIsrael[[#This Row],[Buy Value]]</f>
        <v>2.5874382374506174E-2</v>
      </c>
      <c r="M84">
        <f>OrdersYigaelIsrael[[#This Row],[Sell Value]]-OrdersYigaelIsrael[[#This Row],[Buy Value]]+OrdersYigaelIsrael[[#This Row],[Dividand]]-OrdersYigaelIsrael[[#This Row],[Commission]]</f>
        <v>9050.6105600139781</v>
      </c>
      <c r="N84">
        <f>SUM(INDEX(OrdersYigaelIsrael[P&amp;L],1):OrdersYigaelIsrael[[#This Row],[P&amp;L]])</f>
        <v>57982.802701079156</v>
      </c>
    </row>
    <row r="85" spans="1:17" x14ac:dyDescent="0.25">
      <c r="A85" t="s">
        <v>35</v>
      </c>
      <c r="B85" s="1">
        <v>45634</v>
      </c>
      <c r="C85" s="1">
        <v>45636</v>
      </c>
      <c r="D85" t="str">
        <f>TEXT(OrdersYigaelIsrael[[#This Row],[Sell Date]],"yyyy-mm")</f>
        <v>2024-12</v>
      </c>
      <c r="E85" s="2">
        <v>6150.1549999999997</v>
      </c>
      <c r="F85" s="2">
        <v>6250</v>
      </c>
      <c r="G85" s="21">
        <v>9427</v>
      </c>
      <c r="H85">
        <f>OrdersYigaelIsrael[[#This Row],[Buy Price]]*OrdersYigaelIsrael[[#This Row],[Amount]]/100</f>
        <v>579775.11184999999</v>
      </c>
      <c r="I85">
        <f>OrdersYigaelIsrael[[#This Row],[Sell Price]]*OrdersYigaelIsrael[[#This Row],[Amount]]/100</f>
        <v>589187.5</v>
      </c>
      <c r="J85">
        <f>(OrdersYigaelIsrael[[#This Row],[Buy Value]]+OrdersYigaelIsrael[[#This Row],[Sell Value]])*0.0007</f>
        <v>818.27382829499993</v>
      </c>
      <c r="K85" s="19">
        <f>(OrdersYigaelIsrael[[#This Row],[Sell Value]]-OrdersYigaelIsrael[[#This Row],[Buy Value]]-OrdersYigaelIsrael[[#This Row],[Commission]]+OrdersYigaelIsrael[[#This Row],[Dividand]])/OrdersYigaelIsrael[[#This Row],[Buy Value]]</f>
        <v>1.4823186001003252E-2</v>
      </c>
      <c r="M85">
        <f>OrdersYigaelIsrael[[#This Row],[Sell Value]]-OrdersYigaelIsrael[[#This Row],[Buy Value]]+OrdersYigaelIsrael[[#This Row],[Dividand]]-OrdersYigaelIsrael[[#This Row],[Commission]]</f>
        <v>8594.1143217050139</v>
      </c>
      <c r="N85">
        <f>SUM(INDEX(OrdersYigaelIsrael[P&amp;L],1):OrdersYigaelIsrael[[#This Row],[P&amp;L]])</f>
        <v>66576.917022784168</v>
      </c>
    </row>
    <row r="86" spans="1:17" x14ac:dyDescent="0.25">
      <c r="A86" t="s">
        <v>40</v>
      </c>
      <c r="B86" s="1">
        <v>45636</v>
      </c>
      <c r="C86" s="1">
        <v>45644</v>
      </c>
      <c r="D86" t="str">
        <f>TEXT(OrdersYigaelIsrael[[#This Row],[Sell Date]],"yyyy-mm")</f>
        <v>2024-12</v>
      </c>
      <c r="E86" s="2">
        <v>70700</v>
      </c>
      <c r="F86" s="2">
        <v>70920.841750000007</v>
      </c>
      <c r="G86" s="21">
        <v>891</v>
      </c>
      <c r="H86">
        <f>OrdersYigaelIsrael[[#This Row],[Buy Price]]*OrdersYigaelIsrael[[#This Row],[Amount]]/100</f>
        <v>629937</v>
      </c>
      <c r="I86">
        <f>OrdersYigaelIsrael[[#This Row],[Sell Price]]*OrdersYigaelIsrael[[#This Row],[Amount]]/100</f>
        <v>631904.69999250013</v>
      </c>
      <c r="J86">
        <f>(OrdersYigaelIsrael[[#This Row],[Buy Value]]+OrdersYigaelIsrael[[#This Row],[Sell Value]])*0.0007</f>
        <v>883.28918999475013</v>
      </c>
      <c r="K86" s="19">
        <f>(OrdersYigaelIsrael[[#This Row],[Sell Value]]-OrdersYigaelIsrael[[#This Row],[Buy Value]]-OrdersYigaelIsrael[[#This Row],[Commission]]+OrdersYigaelIsrael[[#This Row],[Dividand]])/OrdersYigaelIsrael[[#This Row],[Buy Value]]</f>
        <v>1.7214591340171781E-3</v>
      </c>
      <c r="M86">
        <f>OrdersYigaelIsrael[[#This Row],[Sell Value]]-OrdersYigaelIsrael[[#This Row],[Buy Value]]+OrdersYigaelIsrael[[#This Row],[Dividand]]-OrdersYigaelIsrael[[#This Row],[Commission]]</f>
        <v>1084.410802505379</v>
      </c>
      <c r="N86">
        <f>SUM(INDEX(OrdersYigaelIsrael[P&amp;L],1):OrdersYigaelIsrael[[#This Row],[P&amp;L]])</f>
        <v>67661.32782528954</v>
      </c>
    </row>
    <row r="87" spans="1:17" x14ac:dyDescent="0.25">
      <c r="A87" t="s">
        <v>42</v>
      </c>
      <c r="B87" s="1">
        <v>45645</v>
      </c>
      <c r="C87" s="1">
        <v>45648</v>
      </c>
      <c r="D87" t="str">
        <f>TEXT(OrdersYigaelIsrael[[#This Row],[Sell Date]],"yyyy-mm")</f>
        <v>2024-12</v>
      </c>
      <c r="E87" s="2">
        <v>56500</v>
      </c>
      <c r="F87" s="2">
        <v>57830</v>
      </c>
      <c r="G87" s="21">
        <v>143</v>
      </c>
      <c r="H87">
        <f>OrdersYigaelIsrael[[#This Row],[Buy Price]]*OrdersYigaelIsrael[[#This Row],[Amount]]/100</f>
        <v>80795</v>
      </c>
      <c r="I87">
        <f>OrdersYigaelIsrael[[#This Row],[Sell Price]]*OrdersYigaelIsrael[[#This Row],[Amount]]/100</f>
        <v>82696.899999999994</v>
      </c>
      <c r="J87">
        <f>(OrdersYigaelIsrael[[#This Row],[Buy Value]]+OrdersYigaelIsrael[[#This Row],[Sell Value]])*0.0007</f>
        <v>114.44432999999999</v>
      </c>
      <c r="K87" s="19">
        <f>(OrdersYigaelIsrael[[#This Row],[Sell Value]]-OrdersYigaelIsrael[[#This Row],[Buy Value]]-OrdersYigaelIsrael[[#This Row],[Commission]]+OrdersYigaelIsrael[[#This Row],[Dividand]])/OrdersYigaelIsrael[[#This Row],[Buy Value]]</f>
        <v>2.2123345132743291E-2</v>
      </c>
      <c r="M87">
        <f>OrdersYigaelIsrael[[#This Row],[Sell Value]]-OrdersYigaelIsrael[[#This Row],[Buy Value]]+OrdersYigaelIsrael[[#This Row],[Dividand]]-OrdersYigaelIsrael[[#This Row],[Commission]]</f>
        <v>1787.4556699999941</v>
      </c>
      <c r="N87">
        <f>SUM(INDEX(OrdersYigaelIsrael[P&amp;L],1):OrdersYigaelIsrael[[#This Row],[P&amp;L]])</f>
        <v>69448.783495289535</v>
      </c>
    </row>
    <row r="88" spans="1:17" x14ac:dyDescent="0.25">
      <c r="A88" t="s">
        <v>40</v>
      </c>
      <c r="B88" s="1">
        <v>45645</v>
      </c>
      <c r="C88" s="1">
        <v>45650</v>
      </c>
      <c r="D88" t="str">
        <f>TEXT(OrdersYigaelIsrael[[#This Row],[Sell Date]],"yyyy-mm")</f>
        <v>2024-12</v>
      </c>
      <c r="E88" s="2">
        <v>71257.331999999995</v>
      </c>
      <c r="F88" s="2">
        <v>72680</v>
      </c>
      <c r="G88" s="21">
        <v>757</v>
      </c>
      <c r="H88">
        <f>OrdersYigaelIsrael[[#This Row],[Buy Price]]*OrdersYigaelIsrael[[#This Row],[Amount]]/100</f>
        <v>539418.00323999999</v>
      </c>
      <c r="I88">
        <f>OrdersYigaelIsrael[[#This Row],[Sell Price]]*OrdersYigaelIsrael[[#This Row],[Amount]]/100</f>
        <v>550187.6</v>
      </c>
      <c r="J88">
        <f>(OrdersYigaelIsrael[[#This Row],[Buy Value]]+OrdersYigaelIsrael[[#This Row],[Sell Value]])*0.0007</f>
        <v>762.72392226800002</v>
      </c>
      <c r="K88" s="19">
        <f>(OrdersYigaelIsrael[[#This Row],[Sell Value]]-OrdersYigaelIsrael[[#This Row],[Buy Value]]-OrdersYigaelIsrael[[#This Row],[Commission]]+OrdersYigaelIsrael[[#This Row],[Dividand]])/OrdersYigaelIsrael[[#This Row],[Buy Value]]</f>
        <v>1.855123999871337E-2</v>
      </c>
      <c r="M88">
        <f>OrdersYigaelIsrael[[#This Row],[Sell Value]]-OrdersYigaelIsrael[[#This Row],[Buy Value]]+OrdersYigaelIsrael[[#This Row],[Dividand]]-OrdersYigaelIsrael[[#This Row],[Commission]]</f>
        <v>10006.872837731986</v>
      </c>
      <c r="N88">
        <f>SUM(INDEX(OrdersYigaelIsrael[P&amp;L],1):OrdersYigaelIsrael[[#This Row],[P&amp;L]])</f>
        <v>79455.656333021529</v>
      </c>
    </row>
    <row r="89" spans="1:17" x14ac:dyDescent="0.25">
      <c r="A89" t="s">
        <v>41</v>
      </c>
      <c r="B89" s="1">
        <v>45624</v>
      </c>
      <c r="C89" s="1">
        <v>45657</v>
      </c>
      <c r="D89" t="str">
        <f>TEXT(OrdersYigaelIsrael[[#This Row],[Sell Date]],"yyyy-mm")</f>
        <v>2024-12</v>
      </c>
      <c r="E89" s="2">
        <v>1140.135</v>
      </c>
      <c r="F89" s="2">
        <v>1133</v>
      </c>
      <c r="G89" s="21">
        <v>20239</v>
      </c>
      <c r="H89">
        <f>OrdersYigaelIsrael[[#This Row],[Buy Price]]*OrdersYigaelIsrael[[#This Row],[Amount]]/100</f>
        <v>230751.92264999999</v>
      </c>
      <c r="I89">
        <f>OrdersYigaelIsrael[[#This Row],[Sell Price]]*OrdersYigaelIsrael[[#This Row],[Amount]]/100</f>
        <v>229307.87</v>
      </c>
      <c r="J89">
        <f>(OrdersYigaelIsrael[[#This Row],[Buy Value]]+OrdersYigaelIsrael[[#This Row],[Sell Value]])*0.0007</f>
        <v>322.04185485499994</v>
      </c>
      <c r="K89" s="19">
        <f>(OrdersYigaelIsrael[[#This Row],[Sell Value]]-OrdersYigaelIsrael[[#This Row],[Buy Value]]-OrdersYigaelIsrael[[#This Row],[Commission]]+OrdersYigaelIsrael[[#This Row],[Dividand]])/OrdersYigaelIsrael[[#This Row],[Buy Value]]</f>
        <v>-7.6536502256311654E-3</v>
      </c>
      <c r="M89">
        <f>OrdersYigaelIsrael[[#This Row],[Sell Value]]-OrdersYigaelIsrael[[#This Row],[Buy Value]]+OrdersYigaelIsrael[[#This Row],[Dividand]]-OrdersYigaelIsrael[[#This Row],[Commission]]</f>
        <v>-1766.0945048549977</v>
      </c>
      <c r="N89">
        <f>SUM(INDEX(OrdersYigaelIsrael[P&amp;L],1):OrdersYigaelIsrael[[#This Row],[P&amp;L]])</f>
        <v>77689.561828166537</v>
      </c>
      <c r="P89" t="s">
        <v>43</v>
      </c>
      <c r="Q89" s="20">
        <f>SUMIFS(OrdersYigaelIsrael[P&amp;L], OrdersYigaelIsrael[Sell Date], "&gt;=2024-08-01", OrdersYigaelIsrael[Sell Date], "&lt;=2024-12-31")</f>
        <v>8621.9474025663221</v>
      </c>
    </row>
    <row r="90" spans="1:17" x14ac:dyDescent="0.25">
      <c r="A90" t="s">
        <v>17</v>
      </c>
      <c r="B90" s="1">
        <v>45650</v>
      </c>
      <c r="C90" s="1">
        <v>45658</v>
      </c>
      <c r="D90" t="str">
        <f>TEXT(OrdersYigaelIsrael[[#This Row],[Sell Date]],"yyyy-mm")</f>
        <v>2025-01</v>
      </c>
      <c r="E90" s="2">
        <v>4266</v>
      </c>
      <c r="F90" s="2">
        <v>4351</v>
      </c>
      <c r="G90" s="21">
        <v>7031</v>
      </c>
      <c r="H90">
        <f>OrdersYigaelIsrael[[#This Row],[Buy Price]]*OrdersYigaelIsrael[[#This Row],[Amount]]/100</f>
        <v>299942.46000000002</v>
      </c>
      <c r="I90">
        <f>OrdersYigaelIsrael[[#This Row],[Sell Price]]*OrdersYigaelIsrael[[#This Row],[Amount]]/100</f>
        <v>305918.81</v>
      </c>
      <c r="J90">
        <f>(OrdersYigaelIsrael[[#This Row],[Buy Value]]+OrdersYigaelIsrael[[#This Row],[Sell Value]])*0.0007</f>
        <v>424.102889</v>
      </c>
      <c r="K90" s="19">
        <f>(OrdersYigaelIsrael[[#This Row],[Sell Value]]-OrdersYigaelIsrael[[#This Row],[Buy Value]]-OrdersYigaelIsrael[[#This Row],[Commission]]+OrdersYigaelIsrael[[#This Row],[Dividand]])/OrdersYigaelIsrael[[#This Row],[Buy Value]]</f>
        <v>1.8511040787622987E-2</v>
      </c>
      <c r="M90">
        <f>OrdersYigaelIsrael[[#This Row],[Sell Value]]-OrdersYigaelIsrael[[#This Row],[Buy Value]]+OrdersYigaelIsrael[[#This Row],[Dividand]]-OrdersYigaelIsrael[[#This Row],[Commission]]</f>
        <v>5552.2471109999769</v>
      </c>
      <c r="N90">
        <f>SUM(INDEX(OrdersYigaelIsrael[P&amp;L],1):OrdersYigaelIsrael[[#This Row],[P&amp;L]])</f>
        <v>83241.808939166513</v>
      </c>
    </row>
    <row r="91" spans="1:17" x14ac:dyDescent="0.25">
      <c r="A91" t="s">
        <v>27</v>
      </c>
      <c r="B91" s="1">
        <v>45650</v>
      </c>
      <c r="C91" s="1">
        <v>45658</v>
      </c>
      <c r="D91" t="str">
        <f>TEXT(OrdersYigaelIsrael[[#This Row],[Sell Date]],"yyyy-mm")</f>
        <v>2025-01</v>
      </c>
      <c r="E91" s="2">
        <v>4298</v>
      </c>
      <c r="F91" s="2">
        <v>4388.6750000000002</v>
      </c>
      <c r="G91" s="21">
        <v>7677</v>
      </c>
      <c r="H91">
        <f>OrdersYigaelIsrael[[#This Row],[Buy Price]]*OrdersYigaelIsrael[[#This Row],[Amount]]/100</f>
        <v>329957.46000000002</v>
      </c>
      <c r="I91">
        <f>OrdersYigaelIsrael[[#This Row],[Sell Price]]*OrdersYigaelIsrael[[#This Row],[Amount]]/100</f>
        <v>336918.57975000003</v>
      </c>
      <c r="J91">
        <f>(OrdersYigaelIsrael[[#This Row],[Buy Value]]+OrdersYigaelIsrael[[#This Row],[Sell Value]])*0.0007</f>
        <v>466.81322782500001</v>
      </c>
      <c r="K91" s="19">
        <f>(OrdersYigaelIsrael[[#This Row],[Sell Value]]-OrdersYigaelIsrael[[#This Row],[Buy Value]]-OrdersYigaelIsrael[[#This Row],[Commission]]+OrdersYigaelIsrael[[#This Row],[Dividand]])/OrdersYigaelIsrael[[#This Row],[Buy Value]]</f>
        <v>1.9682253955328098E-2</v>
      </c>
      <c r="M91">
        <f>OrdersYigaelIsrael[[#This Row],[Sell Value]]-OrdersYigaelIsrael[[#This Row],[Buy Value]]+OrdersYigaelIsrael[[#This Row],[Dividand]]-OrdersYigaelIsrael[[#This Row],[Commission]]</f>
        <v>6494.306522175013</v>
      </c>
      <c r="N91">
        <f>SUM(INDEX(OrdersYigaelIsrael[P&amp;L],1):OrdersYigaelIsrael[[#This Row],[P&amp;L]])</f>
        <v>89736.115461341527</v>
      </c>
      <c r="P91" t="s">
        <v>82</v>
      </c>
      <c r="Q91" s="20">
        <f>SUMIFS(OrdersYigaelIsrael[P&amp;L], OrdersYigaelIsrael[Year-Month], "2024-12")</f>
        <v>58426.607085065392</v>
      </c>
    </row>
    <row r="92" spans="1:17" x14ac:dyDescent="0.25">
      <c r="A92" t="s">
        <v>16</v>
      </c>
      <c r="B92" s="1">
        <v>45658</v>
      </c>
      <c r="C92" s="1">
        <v>45659</v>
      </c>
      <c r="D92" t="str">
        <f>TEXT(OrdersYigaelIsrael[[#This Row],[Sell Date]],"yyyy-mm")</f>
        <v>2025-01</v>
      </c>
      <c r="E92" s="2">
        <v>47830</v>
      </c>
      <c r="F92" s="2">
        <v>48800</v>
      </c>
      <c r="G92" s="21">
        <v>627</v>
      </c>
      <c r="H92">
        <f>OrdersYigaelIsrael[[#This Row],[Buy Price]]*OrdersYigaelIsrael[[#This Row],[Amount]]/100</f>
        <v>299894.09999999998</v>
      </c>
      <c r="I92">
        <f>OrdersYigaelIsrael[[#This Row],[Sell Price]]*OrdersYigaelIsrael[[#This Row],[Amount]]/100</f>
        <v>305976</v>
      </c>
      <c r="J92">
        <f>(OrdersYigaelIsrael[[#This Row],[Buy Value]]+OrdersYigaelIsrael[[#This Row],[Sell Value]])*0.0007</f>
        <v>424.10906999999997</v>
      </c>
      <c r="K92" s="19">
        <f>(OrdersYigaelIsrael[[#This Row],[Sell Value]]-OrdersYigaelIsrael[[#This Row],[Buy Value]]-OrdersYigaelIsrael[[#This Row],[Commission]]+OrdersYigaelIsrael[[#This Row],[Dividand]])/OrdersYigaelIsrael[[#This Row],[Buy Value]]</f>
        <v>1.8865962784863133E-2</v>
      </c>
      <c r="M92">
        <f>OrdersYigaelIsrael[[#This Row],[Sell Value]]-OrdersYigaelIsrael[[#This Row],[Buy Value]]+OrdersYigaelIsrael[[#This Row],[Dividand]]-OrdersYigaelIsrael[[#This Row],[Commission]]</f>
        <v>5657.7909300000229</v>
      </c>
      <c r="N92">
        <f>SUM(INDEX(OrdersYigaelIsrael[P&amp;L],1):OrdersYigaelIsrael[[#This Row],[P&amp;L]])</f>
        <v>95393.906391341545</v>
      </c>
    </row>
    <row r="93" spans="1:17" x14ac:dyDescent="0.25">
      <c r="A93" t="s">
        <v>23</v>
      </c>
      <c r="B93" s="1">
        <v>45659</v>
      </c>
      <c r="C93" s="1">
        <v>45663</v>
      </c>
      <c r="D93" t="str">
        <f>TEXT(OrdersYigaelIsrael[[#This Row],[Sell Date]],"yyyy-mm")</f>
        <v>2025-01</v>
      </c>
      <c r="E93" s="2">
        <v>2475</v>
      </c>
      <c r="F93" s="2">
        <v>2525</v>
      </c>
      <c r="G93" s="21">
        <v>18329</v>
      </c>
      <c r="H93">
        <f>OrdersYigaelIsrael[[#This Row],[Buy Price]]*OrdersYigaelIsrael[[#This Row],[Amount]]/100</f>
        <v>453642.75</v>
      </c>
      <c r="I93">
        <f>OrdersYigaelIsrael[[#This Row],[Sell Price]]*OrdersYigaelIsrael[[#This Row],[Amount]]/100</f>
        <v>462807.25</v>
      </c>
      <c r="J93">
        <f>(OrdersYigaelIsrael[[#This Row],[Buy Value]]+OrdersYigaelIsrael[[#This Row],[Sell Value]])*0.0007</f>
        <v>641.51499999999999</v>
      </c>
      <c r="K93" s="19">
        <f>(OrdersYigaelIsrael[[#This Row],[Sell Value]]-OrdersYigaelIsrael[[#This Row],[Buy Value]]-OrdersYigaelIsrael[[#This Row],[Commission]]+OrdersYigaelIsrael[[#This Row],[Dividand]])/OrdersYigaelIsrael[[#This Row],[Buy Value]]</f>
        <v>1.8787878787878787E-2</v>
      </c>
      <c r="M93">
        <f>OrdersYigaelIsrael[[#This Row],[Sell Value]]-OrdersYigaelIsrael[[#This Row],[Buy Value]]+OrdersYigaelIsrael[[#This Row],[Dividand]]-OrdersYigaelIsrael[[#This Row],[Commission]]</f>
        <v>8522.9850000000006</v>
      </c>
      <c r="N93">
        <f>SUM(INDEX(OrdersYigaelIsrael[P&amp;L],1):OrdersYigaelIsrael[[#This Row],[P&amp;L]])</f>
        <v>103916.89139134155</v>
      </c>
      <c r="Q93" s="20"/>
    </row>
    <row r="94" spans="1:17" x14ac:dyDescent="0.25">
      <c r="A94" t="s">
        <v>17</v>
      </c>
      <c r="B94" s="1">
        <v>45659</v>
      </c>
      <c r="C94" s="1">
        <v>45663</v>
      </c>
      <c r="D94" t="str">
        <f>TEXT(OrdersYigaelIsrael[[#This Row],[Sell Date]],"yyyy-mm")</f>
        <v>2025-01</v>
      </c>
      <c r="E94" s="2">
        <v>4326</v>
      </c>
      <c r="F94" s="2">
        <v>4412</v>
      </c>
      <c r="G94" s="21">
        <v>7209</v>
      </c>
      <c r="H94">
        <f>OrdersYigaelIsrael[[#This Row],[Buy Price]]*OrdersYigaelIsrael[[#This Row],[Amount]]/100</f>
        <v>311861.34000000003</v>
      </c>
      <c r="I94">
        <f>OrdersYigaelIsrael[[#This Row],[Sell Price]]*OrdersYigaelIsrael[[#This Row],[Amount]]/100</f>
        <v>318061.08</v>
      </c>
      <c r="J94">
        <f>(OrdersYigaelIsrael[[#This Row],[Buy Value]]+OrdersYigaelIsrael[[#This Row],[Sell Value]])*0.0007</f>
        <v>440.945694</v>
      </c>
      <c r="K94" s="19">
        <f>(OrdersYigaelIsrael[[#This Row],[Sell Value]]-OrdersYigaelIsrael[[#This Row],[Buy Value]]-OrdersYigaelIsrael[[#This Row],[Commission]]+OrdersYigaelIsrael[[#This Row],[Dividand]])/OrdersYigaelIsrael[[#This Row],[Buy Value]]</f>
        <v>1.8465880721220497E-2</v>
      </c>
      <c r="M94">
        <f>OrdersYigaelIsrael[[#This Row],[Sell Value]]-OrdersYigaelIsrael[[#This Row],[Buy Value]]+OrdersYigaelIsrael[[#This Row],[Dividand]]-OrdersYigaelIsrael[[#This Row],[Commission]]</f>
        <v>5758.7943059999907</v>
      </c>
      <c r="N94">
        <f>SUM(INDEX(OrdersYigaelIsrael[P&amp;L],1):OrdersYigaelIsrael[[#This Row],[P&amp;L]])</f>
        <v>109675.68569734154</v>
      </c>
    </row>
    <row r="95" spans="1:17" x14ac:dyDescent="0.25">
      <c r="A95" t="s">
        <v>47</v>
      </c>
      <c r="B95" s="1">
        <v>45663</v>
      </c>
      <c r="C95" s="1">
        <v>45664</v>
      </c>
      <c r="D95" t="str">
        <f>TEXT(OrdersYigaelIsrael[[#This Row],[Sell Date]],"yyyy-mm")</f>
        <v>2025-01</v>
      </c>
      <c r="E95" s="2">
        <v>2726.15</v>
      </c>
      <c r="F95" s="2">
        <v>2781</v>
      </c>
      <c r="G95" s="21">
        <v>7709</v>
      </c>
      <c r="H95">
        <f>OrdersYigaelIsrael[[#This Row],[Buy Price]]*OrdersYigaelIsrael[[#This Row],[Amount]]/100</f>
        <v>210158.90350000001</v>
      </c>
      <c r="I95">
        <f>OrdersYigaelIsrael[[#This Row],[Sell Price]]*OrdersYigaelIsrael[[#This Row],[Amount]]/100</f>
        <v>214387.29</v>
      </c>
      <c r="J95">
        <f>(OrdersYigaelIsrael[[#This Row],[Buy Value]]+OrdersYigaelIsrael[[#This Row],[Sell Value]])*0.0007</f>
        <v>297.18233545000004</v>
      </c>
      <c r="K95" s="19">
        <f>(OrdersYigaelIsrael[[#This Row],[Sell Value]]-OrdersYigaelIsrael[[#This Row],[Buy Value]]-OrdersYigaelIsrael[[#This Row],[Commission]]+OrdersYigaelIsrael[[#This Row],[Dividand]])/OrdersYigaelIsrael[[#This Row],[Buy Value]]</f>
        <v>1.8705865414595641E-2</v>
      </c>
      <c r="M95">
        <f>OrdersYigaelIsrael[[#This Row],[Sell Value]]-OrdersYigaelIsrael[[#This Row],[Buy Value]]+OrdersYigaelIsrael[[#This Row],[Dividand]]-OrdersYigaelIsrael[[#This Row],[Commission]]</f>
        <v>3931.204164549993</v>
      </c>
      <c r="N95">
        <f>SUM(INDEX(OrdersYigaelIsrael[P&amp;L],1):OrdersYigaelIsrael[[#This Row],[P&amp;L]])</f>
        <v>113606.88986189154</v>
      </c>
    </row>
    <row r="96" spans="1:17" x14ac:dyDescent="0.25">
      <c r="A96" t="s">
        <v>34</v>
      </c>
      <c r="B96" s="1">
        <v>45663</v>
      </c>
      <c r="C96" s="1">
        <v>45666</v>
      </c>
      <c r="D96" t="str">
        <f>TEXT(OrdersYigaelIsrael[[#This Row],[Sell Date]],"yyyy-mm")</f>
        <v>2025-01</v>
      </c>
      <c r="E96" s="2">
        <v>15590</v>
      </c>
      <c r="F96" s="2">
        <v>15590</v>
      </c>
      <c r="G96" s="21">
        <v>3213</v>
      </c>
      <c r="H96">
        <f>OrdersYigaelIsrael[[#This Row],[Buy Price]]*OrdersYigaelIsrael[[#This Row],[Amount]]/100</f>
        <v>500906.7</v>
      </c>
      <c r="I96">
        <f>OrdersYigaelIsrael[[#This Row],[Sell Price]]*OrdersYigaelIsrael[[#This Row],[Amount]]/100</f>
        <v>500906.7</v>
      </c>
      <c r="J96">
        <f>(OrdersYigaelIsrael[[#This Row],[Buy Value]]+OrdersYigaelIsrael[[#This Row],[Sell Value]])*0.0007</f>
        <v>701.26937999999996</v>
      </c>
      <c r="K96" s="19">
        <f>(OrdersYigaelIsrael[[#This Row],[Sell Value]]-OrdersYigaelIsrael[[#This Row],[Buy Value]]-OrdersYigaelIsrael[[#This Row],[Commission]]+OrdersYigaelIsrael[[#This Row],[Dividand]])/OrdersYigaelIsrael[[#This Row],[Buy Value]]</f>
        <v>-1.4E-3</v>
      </c>
      <c r="M96">
        <f>OrdersYigaelIsrael[[#This Row],[Sell Value]]-OrdersYigaelIsrael[[#This Row],[Buy Value]]+OrdersYigaelIsrael[[#This Row],[Dividand]]-OrdersYigaelIsrael[[#This Row],[Commission]]</f>
        <v>-701.26937999999996</v>
      </c>
      <c r="N96">
        <f>SUM(INDEX(OrdersYigaelIsrael[P&amp;L],1):OrdersYigaelIsrael[[#This Row],[P&amp;L]])</f>
        <v>112905.62048189154</v>
      </c>
    </row>
    <row r="97" spans="1:17" x14ac:dyDescent="0.25">
      <c r="A97" t="s">
        <v>29</v>
      </c>
      <c r="B97" s="1">
        <v>45664</v>
      </c>
      <c r="C97" s="1">
        <v>45666</v>
      </c>
      <c r="D97" t="str">
        <f>TEXT(OrdersYigaelIsrael[[#This Row],[Sell Date]],"yyyy-mm")</f>
        <v>2025-01</v>
      </c>
      <c r="E97" s="2">
        <v>3792.71</v>
      </c>
      <c r="F97" s="2">
        <v>3837.76</v>
      </c>
      <c r="G97" s="21">
        <v>7905</v>
      </c>
      <c r="H97">
        <f>OrdersYigaelIsrael[[#This Row],[Buy Price]]*OrdersYigaelIsrael[[#This Row],[Amount]]/100</f>
        <v>299813.7255</v>
      </c>
      <c r="I97">
        <f>OrdersYigaelIsrael[[#This Row],[Sell Price]]*OrdersYigaelIsrael[[#This Row],[Amount]]/100</f>
        <v>303374.92800000001</v>
      </c>
      <c r="J97">
        <f>(OrdersYigaelIsrael[[#This Row],[Buy Value]]+OrdersYigaelIsrael[[#This Row],[Sell Value]])*0.0007</f>
        <v>422.23205745000001</v>
      </c>
      <c r="K97" s="19">
        <f>(OrdersYigaelIsrael[[#This Row],[Sell Value]]-OrdersYigaelIsrael[[#This Row],[Buy Value]]-OrdersYigaelIsrael[[#This Row],[Commission]]+OrdersYigaelIsrael[[#This Row],[Dividand]])/OrdersYigaelIsrael[[#This Row],[Buy Value]]</f>
        <v>1.0469735624395267E-2</v>
      </c>
      <c r="M97">
        <f>OrdersYigaelIsrael[[#This Row],[Sell Value]]-OrdersYigaelIsrael[[#This Row],[Buy Value]]+OrdersYigaelIsrael[[#This Row],[Dividand]]-OrdersYigaelIsrael[[#This Row],[Commission]]</f>
        <v>3138.970442550014</v>
      </c>
      <c r="N97">
        <f>SUM(INDEX(OrdersYigaelIsrael[P&amp;L],1):OrdersYigaelIsrael[[#This Row],[P&amp;L]])</f>
        <v>116044.59092444155</v>
      </c>
    </row>
    <row r="98" spans="1:17" x14ac:dyDescent="0.25">
      <c r="A98" t="s">
        <v>25</v>
      </c>
      <c r="B98" s="1">
        <v>45635</v>
      </c>
      <c r="C98" s="1">
        <v>45676</v>
      </c>
      <c r="D98" t="str">
        <f>TEXT(OrdersYigaelIsrael[[#This Row],[Sell Date]],"yyyy-mm")</f>
        <v>2025-01</v>
      </c>
      <c r="E98" s="2">
        <v>4560</v>
      </c>
      <c r="F98" s="2">
        <v>4180</v>
      </c>
      <c r="G98" s="21">
        <v>7128</v>
      </c>
      <c r="H98">
        <f>OrdersYigaelIsrael[[#This Row],[Buy Price]]*OrdersYigaelIsrael[[#This Row],[Amount]]/100</f>
        <v>325036.79999999999</v>
      </c>
      <c r="I98">
        <f>OrdersYigaelIsrael[[#This Row],[Sell Price]]*OrdersYigaelIsrael[[#This Row],[Amount]]/100</f>
        <v>297950.40000000002</v>
      </c>
      <c r="J98">
        <f>(OrdersYigaelIsrael[[#This Row],[Buy Value]]+OrdersYigaelIsrael[[#This Row],[Sell Value]])*0.0007</f>
        <v>436.09103999999996</v>
      </c>
      <c r="K98" s="19">
        <f>(OrdersYigaelIsrael[[#This Row],[Sell Value]]-OrdersYigaelIsrael[[#This Row],[Buy Value]]-OrdersYigaelIsrael[[#This Row],[Commission]]+OrdersYigaelIsrael[[#This Row],[Dividand]])/OrdersYigaelIsrael[[#This Row],[Buy Value]]</f>
        <v>-8.4674999999999889E-2</v>
      </c>
      <c r="M98">
        <f>OrdersYigaelIsrael[[#This Row],[Sell Value]]-OrdersYigaelIsrael[[#This Row],[Buy Value]]+OrdersYigaelIsrael[[#This Row],[Dividand]]-OrdersYigaelIsrael[[#This Row],[Commission]]</f>
        <v>-27522.491039999964</v>
      </c>
      <c r="N98">
        <f>SUM(INDEX(OrdersYigaelIsrael[P&amp;L],1):OrdersYigaelIsrael[[#This Row],[P&amp;L]])</f>
        <v>88522.099884441588</v>
      </c>
    </row>
    <row r="99" spans="1:17" x14ac:dyDescent="0.25">
      <c r="A99" t="s">
        <v>24</v>
      </c>
      <c r="B99" s="1">
        <v>45666</v>
      </c>
      <c r="C99" s="1">
        <v>45678</v>
      </c>
      <c r="D99" t="str">
        <f>TEXT(OrdersYigaelIsrael[[#This Row],[Sell Date]],"yyyy-mm")</f>
        <v>2025-01</v>
      </c>
      <c r="E99">
        <v>1600</v>
      </c>
      <c r="F99" s="2">
        <v>1602.0930000000001</v>
      </c>
      <c r="G99" s="21">
        <v>24922</v>
      </c>
      <c r="H99">
        <f>OrdersYigaelIsrael[[#This Row],[Buy Price]]*OrdersYigaelIsrael[[#This Row],[Amount]]/100</f>
        <v>398752</v>
      </c>
      <c r="I99">
        <f>OrdersYigaelIsrael[[#This Row],[Sell Price]]*OrdersYigaelIsrael[[#This Row],[Amount]]/100</f>
        <v>399273.61745999998</v>
      </c>
      <c r="J99">
        <f>(OrdersYigaelIsrael[[#This Row],[Buy Value]]+OrdersYigaelIsrael[[#This Row],[Sell Value]])*0.0007</f>
        <v>558.61793222200004</v>
      </c>
      <c r="K99" s="19">
        <f>(OrdersYigaelIsrael[[#This Row],[Sell Value]]-OrdersYigaelIsrael[[#This Row],[Buy Value]]-OrdersYigaelIsrael[[#This Row],[Commission]]+OrdersYigaelIsrael[[#This Row],[Dividand]])/OrdersYigaelIsrael[[#This Row],[Buy Value]]</f>
        <v>-9.2790687500051569E-5</v>
      </c>
      <c r="M99">
        <f>OrdersYigaelIsrael[[#This Row],[Sell Value]]-OrdersYigaelIsrael[[#This Row],[Buy Value]]+OrdersYigaelIsrael[[#This Row],[Dividand]]-OrdersYigaelIsrael[[#This Row],[Commission]]</f>
        <v>-37.000472222020562</v>
      </c>
      <c r="N99">
        <f>SUM(INDEX(OrdersYigaelIsrael[P&amp;L],1):OrdersYigaelIsrael[[#This Row],[P&amp;L]])</f>
        <v>88485.09941221957</v>
      </c>
    </row>
    <row r="100" spans="1:17" x14ac:dyDescent="0.25">
      <c r="A100" t="s">
        <v>25</v>
      </c>
      <c r="B100" s="1">
        <v>45678</v>
      </c>
      <c r="C100" s="1">
        <v>45683</v>
      </c>
      <c r="D100" t="str">
        <f>TEXT(OrdersYigaelIsrael[[#This Row],[Sell Date]],"yyyy-mm")</f>
        <v>2025-01</v>
      </c>
      <c r="E100" s="2">
        <v>4148</v>
      </c>
      <c r="F100" s="2">
        <v>4082.49</v>
      </c>
      <c r="G100" s="21">
        <v>9643</v>
      </c>
      <c r="H100">
        <f>OrdersYigaelIsrael[[#This Row],[Buy Price]]*OrdersYigaelIsrael[[#This Row],[Amount]]/100</f>
        <v>399991.64</v>
      </c>
      <c r="I100">
        <f>OrdersYigaelIsrael[[#This Row],[Sell Price]]*OrdersYigaelIsrael[[#This Row],[Amount]]/100</f>
        <v>393674.51069999998</v>
      </c>
      <c r="J100">
        <f>(OrdersYigaelIsrael[[#This Row],[Buy Value]]+OrdersYigaelIsrael[[#This Row],[Sell Value]])*0.0007</f>
        <v>555.56630548999999</v>
      </c>
      <c r="K100" s="19">
        <f>(OrdersYigaelIsrael[[#This Row],[Sell Value]]-OrdersYigaelIsrael[[#This Row],[Buy Value]]-OrdersYigaelIsrael[[#This Row],[Commission]]+OrdersYigaelIsrael[[#This Row],[Dividand]])/OrdersYigaelIsrael[[#This Row],[Buy Value]]</f>
        <v>-1.7182098119575773E-2</v>
      </c>
      <c r="M100">
        <f>OrdersYigaelIsrael[[#This Row],[Sell Value]]-OrdersYigaelIsrael[[#This Row],[Buy Value]]+OrdersYigaelIsrael[[#This Row],[Dividand]]-OrdersYigaelIsrael[[#This Row],[Commission]]</f>
        <v>-6872.6956054900293</v>
      </c>
      <c r="N100">
        <f>SUM(INDEX(OrdersYigaelIsrael[P&amp;L],1):OrdersYigaelIsrael[[#This Row],[P&amp;L]])</f>
        <v>81612.403806729533</v>
      </c>
    </row>
    <row r="101" spans="1:17" x14ac:dyDescent="0.25">
      <c r="A101" t="s">
        <v>47</v>
      </c>
      <c r="B101" s="1">
        <v>45666</v>
      </c>
      <c r="C101" s="1">
        <v>45684</v>
      </c>
      <c r="D101" t="str">
        <f>TEXT(OrdersYigaelIsrael[[#This Row],[Sell Date]],"yyyy-mm")</f>
        <v>2025-01</v>
      </c>
      <c r="E101" s="2">
        <v>2716.9470000000001</v>
      </c>
      <c r="F101" s="2">
        <v>2501.2249999999999</v>
      </c>
      <c r="G101" s="21">
        <v>12842</v>
      </c>
      <c r="H101">
        <f>OrdersYigaelIsrael[[#This Row],[Buy Price]]*OrdersYigaelIsrael[[#This Row],[Amount]]/100</f>
        <v>348910.33373999997</v>
      </c>
      <c r="I101">
        <f>OrdersYigaelIsrael[[#This Row],[Sell Price]]*OrdersYigaelIsrael[[#This Row],[Amount]]/100</f>
        <v>321207.31449999998</v>
      </c>
      <c r="J101">
        <f>(OrdersYigaelIsrael[[#This Row],[Buy Value]]+OrdersYigaelIsrael[[#This Row],[Sell Value]])*0.0007</f>
        <v>469.08235376800002</v>
      </c>
      <c r="K101" s="19">
        <f>(OrdersYigaelIsrael[[#This Row],[Sell Value]]-OrdersYigaelIsrael[[#This Row],[Buy Value]]-OrdersYigaelIsrael[[#This Row],[Commission]]+OrdersYigaelIsrael[[#This Row],[Dividand]])/OrdersYigaelIsrael[[#This Row],[Buy Value]]</f>
        <v>-8.0743098926846932E-2</v>
      </c>
      <c r="M101">
        <f>OrdersYigaelIsrael[[#This Row],[Sell Value]]-OrdersYigaelIsrael[[#This Row],[Buy Value]]+OrdersYigaelIsrael[[#This Row],[Dividand]]-OrdersYigaelIsrael[[#This Row],[Commission]]</f>
        <v>-28172.101593767995</v>
      </c>
      <c r="N101">
        <f>SUM(INDEX(OrdersYigaelIsrael[P&amp;L],1):OrdersYigaelIsrael[[#This Row],[P&amp;L]])</f>
        <v>53440.302212961542</v>
      </c>
    </row>
    <row r="102" spans="1:17" x14ac:dyDescent="0.25">
      <c r="A102" t="s">
        <v>25</v>
      </c>
      <c r="B102" s="1">
        <v>45684</v>
      </c>
      <c r="C102" s="1">
        <v>45684</v>
      </c>
      <c r="D102" t="str">
        <f>TEXT(OrdersYigaelIsrael[[#This Row],[Sell Date]],"yyyy-mm")</f>
        <v>2025-01</v>
      </c>
      <c r="E102" s="2">
        <v>4042.873</v>
      </c>
      <c r="F102" s="2">
        <v>4206.92</v>
      </c>
      <c r="G102" s="21">
        <v>10476</v>
      </c>
      <c r="H102">
        <f>OrdersYigaelIsrael[[#This Row],[Buy Price]]*OrdersYigaelIsrael[[#This Row],[Amount]]/100</f>
        <v>423531.37547999999</v>
      </c>
      <c r="I102">
        <f>OrdersYigaelIsrael[[#This Row],[Sell Price]]*OrdersYigaelIsrael[[#This Row],[Amount]]/100</f>
        <v>440716.93920000002</v>
      </c>
      <c r="J102">
        <f>(OrdersYigaelIsrael[[#This Row],[Buy Value]]+OrdersYigaelIsrael[[#This Row],[Sell Value]])*0.0007</f>
        <v>604.97382027600008</v>
      </c>
      <c r="K102" s="19">
        <f>(OrdersYigaelIsrael[[#This Row],[Sell Value]]-OrdersYigaelIsrael[[#This Row],[Buy Value]]-OrdersYigaelIsrael[[#This Row],[Commission]]+OrdersYigaelIsrael[[#This Row],[Dividand]])/OrdersYigaelIsrael[[#This Row],[Buy Value]]</f>
        <v>3.9148433527345608E-2</v>
      </c>
      <c r="M102">
        <f>OrdersYigaelIsrael[[#This Row],[Sell Value]]-OrdersYigaelIsrael[[#This Row],[Buy Value]]+OrdersYigaelIsrael[[#This Row],[Dividand]]-OrdersYigaelIsrael[[#This Row],[Commission]]</f>
        <v>16580.589899724033</v>
      </c>
      <c r="N102">
        <f>SUM(INDEX(OrdersYigaelIsrael[P&amp;L],1):OrdersYigaelIsrael[[#This Row],[P&amp;L]])</f>
        <v>70020.892112685571</v>
      </c>
    </row>
    <row r="103" spans="1:17" x14ac:dyDescent="0.25">
      <c r="A103" t="s">
        <v>40</v>
      </c>
      <c r="B103" s="1">
        <v>45684</v>
      </c>
      <c r="C103" s="1">
        <v>45686</v>
      </c>
      <c r="D103" t="str">
        <f>TEXT(OrdersYigaelIsrael[[#This Row],[Sell Date]],"yyyy-mm")</f>
        <v>2025-01</v>
      </c>
      <c r="E103" s="2">
        <v>81565.764999999999</v>
      </c>
      <c r="F103" s="2">
        <v>85600</v>
      </c>
      <c r="G103" s="21">
        <v>366</v>
      </c>
      <c r="H103">
        <f>OrdersYigaelIsrael[[#This Row],[Buy Price]]*OrdersYigaelIsrael[[#This Row],[Amount]]/100</f>
        <v>298530.69990000001</v>
      </c>
      <c r="I103">
        <f>OrdersYigaelIsrael[[#This Row],[Sell Price]]*OrdersYigaelIsrael[[#This Row],[Amount]]/100</f>
        <v>313296</v>
      </c>
      <c r="J103">
        <f>(OrdersYigaelIsrael[[#This Row],[Buy Value]]+OrdersYigaelIsrael[[#This Row],[Sell Value]])*0.0007</f>
        <v>428.27868992999998</v>
      </c>
      <c r="K103" s="19">
        <f>(OrdersYigaelIsrael[[#This Row],[Sell Value]]-OrdersYigaelIsrael[[#This Row],[Buy Value]]-OrdersYigaelIsrael[[#This Row],[Commission]]+OrdersYigaelIsrael[[#This Row],[Dividand]])/OrdersYigaelIsrael[[#This Row],[Buy Value]]</f>
        <v>4.802528321165133E-2</v>
      </c>
      <c r="M103">
        <f>OrdersYigaelIsrael[[#This Row],[Sell Value]]-OrdersYigaelIsrael[[#This Row],[Buy Value]]+OrdersYigaelIsrael[[#This Row],[Dividand]]-OrdersYigaelIsrael[[#This Row],[Commission]]</f>
        <v>14337.021410069992</v>
      </c>
      <c r="N103">
        <f>SUM(INDEX(OrdersYigaelIsrael[P&amp;L],1):OrdersYigaelIsrael[[#This Row],[P&amp;L]])</f>
        <v>84357.913522755567</v>
      </c>
    </row>
    <row r="104" spans="1:17" x14ac:dyDescent="0.25">
      <c r="A104" t="s">
        <v>27</v>
      </c>
      <c r="B104" s="1">
        <v>45677</v>
      </c>
      <c r="C104" s="1">
        <v>45687</v>
      </c>
      <c r="D104" t="str">
        <f>TEXT(OrdersYigaelIsrael[[#This Row],[Sell Date]],"yyyy-mm")</f>
        <v>2025-01</v>
      </c>
      <c r="E104" s="2">
        <v>4736.82</v>
      </c>
      <c r="F104" s="2">
        <v>4560.2860000000001</v>
      </c>
      <c r="G104" s="21">
        <v>7177</v>
      </c>
      <c r="H104">
        <f>OrdersYigaelIsrael[[#This Row],[Buy Price]]*OrdersYigaelIsrael[[#This Row],[Amount]]/100</f>
        <v>339961.57140000002</v>
      </c>
      <c r="I104">
        <f>OrdersYigaelIsrael[[#This Row],[Sell Price]]*OrdersYigaelIsrael[[#This Row],[Amount]]/100</f>
        <v>327291.72622000001</v>
      </c>
      <c r="J104">
        <f>(OrdersYigaelIsrael[[#This Row],[Buy Value]]+OrdersYigaelIsrael[[#This Row],[Sell Value]])*0.0007</f>
        <v>467.07730833400007</v>
      </c>
      <c r="K104" s="19">
        <f>(OrdersYigaelIsrael[[#This Row],[Sell Value]]-OrdersYigaelIsrael[[#This Row],[Buy Value]]-OrdersYigaelIsrael[[#This Row],[Commission]]+OrdersYigaelIsrael[[#This Row],[Dividand]])/OrdersYigaelIsrael[[#This Row],[Buy Value]]</f>
        <v>-3.8642374884416138E-2</v>
      </c>
      <c r="M104">
        <f>OrdersYigaelIsrael[[#This Row],[Sell Value]]-OrdersYigaelIsrael[[#This Row],[Buy Value]]+OrdersYigaelIsrael[[#This Row],[Dividand]]-OrdersYigaelIsrael[[#This Row],[Commission]]</f>
        <v>-13136.922488334005</v>
      </c>
      <c r="N104">
        <f>SUM(INDEX(OrdersYigaelIsrael[P&amp;L],1):OrdersYigaelIsrael[[#This Row],[P&amp;L]])</f>
        <v>71220.99103442156</v>
      </c>
    </row>
    <row r="105" spans="1:17" x14ac:dyDescent="0.25">
      <c r="A105" t="s">
        <v>16</v>
      </c>
      <c r="B105" s="1">
        <v>45684</v>
      </c>
      <c r="C105" s="1">
        <v>45687</v>
      </c>
      <c r="D105" t="str">
        <f>TEXT(OrdersYigaelIsrael[[#This Row],[Sell Date]],"yyyy-mm")</f>
        <v>2025-01</v>
      </c>
      <c r="E105" s="2">
        <v>52739.438000000002</v>
      </c>
      <c r="F105" s="2">
        <v>51830</v>
      </c>
      <c r="G105" s="21">
        <v>801</v>
      </c>
      <c r="H105">
        <f>OrdersYigaelIsrael[[#This Row],[Buy Price]]*OrdersYigaelIsrael[[#This Row],[Amount]]/100</f>
        <v>422442.89837999997</v>
      </c>
      <c r="I105">
        <f>OrdersYigaelIsrael[[#This Row],[Sell Price]]*OrdersYigaelIsrael[[#This Row],[Amount]]/100</f>
        <v>415158.3</v>
      </c>
      <c r="J105">
        <f>(OrdersYigaelIsrael[[#This Row],[Buy Value]]+OrdersYigaelIsrael[[#This Row],[Sell Value]])*0.0007</f>
        <v>586.32083886599992</v>
      </c>
      <c r="K105" s="19">
        <f>(OrdersYigaelIsrael[[#This Row],[Sell Value]]-OrdersYigaelIsrael[[#This Row],[Buy Value]]-OrdersYigaelIsrael[[#This Row],[Commission]]+OrdersYigaelIsrael[[#This Row],[Dividand]])/OrdersYigaelIsrael[[#This Row],[Buy Value]]</f>
        <v>-1.8631912736726503E-2</v>
      </c>
      <c r="M105">
        <f>OrdersYigaelIsrael[[#This Row],[Sell Value]]-OrdersYigaelIsrael[[#This Row],[Buy Value]]+OrdersYigaelIsrael[[#This Row],[Dividand]]-OrdersYigaelIsrael[[#This Row],[Commission]]</f>
        <v>-7870.9192188659808</v>
      </c>
      <c r="N105">
        <f>SUM(INDEX(OrdersYigaelIsrael[P&amp;L],1):OrdersYigaelIsrael[[#This Row],[P&amp;L]])</f>
        <v>63350.071815555581</v>
      </c>
    </row>
    <row r="106" spans="1:17" x14ac:dyDescent="0.25">
      <c r="A106" t="s">
        <v>35</v>
      </c>
      <c r="B106" s="1">
        <v>45686</v>
      </c>
      <c r="C106" s="1">
        <v>45687</v>
      </c>
      <c r="D106" t="str">
        <f>TEXT(OrdersYigaelIsrael[[#This Row],[Sell Date]],"yyyy-mm")</f>
        <v>2025-01</v>
      </c>
      <c r="E106" s="2">
        <v>7256.5129999999999</v>
      </c>
      <c r="F106" s="2">
        <v>6683.4160000000002</v>
      </c>
      <c r="G106" s="21">
        <v>4545</v>
      </c>
      <c r="H106">
        <f>OrdersYigaelIsrael[[#This Row],[Buy Price]]*OrdersYigaelIsrael[[#This Row],[Amount]]/100</f>
        <v>329808.51585000003</v>
      </c>
      <c r="I106">
        <f>OrdersYigaelIsrael[[#This Row],[Sell Price]]*OrdersYigaelIsrael[[#This Row],[Amount]]/100</f>
        <v>303761.25720000005</v>
      </c>
      <c r="J106">
        <f>(OrdersYigaelIsrael[[#This Row],[Buy Value]]+OrdersYigaelIsrael[[#This Row],[Sell Value]])*0.0007</f>
        <v>443.49884113500002</v>
      </c>
      <c r="K106" s="19">
        <f>(OrdersYigaelIsrael[[#This Row],[Sell Value]]-OrdersYigaelIsrael[[#This Row],[Buy Value]]-OrdersYigaelIsrael[[#This Row],[Commission]]+OrdersYigaelIsrael[[#This Row],[Dividand]])/OrdersYigaelIsrael[[#This Row],[Buy Value]]</f>
        <v>-8.0321629727666627E-2</v>
      </c>
      <c r="M106">
        <f>OrdersYigaelIsrael[[#This Row],[Sell Value]]-OrdersYigaelIsrael[[#This Row],[Buy Value]]+OrdersYigaelIsrael[[#This Row],[Dividand]]-OrdersYigaelIsrael[[#This Row],[Commission]]</f>
        <v>-26490.757491134973</v>
      </c>
      <c r="N106">
        <f>SUM(INDEX(OrdersYigaelIsrael[P&amp;L],1):OrdersYigaelIsrael[[#This Row],[P&amp;L]])</f>
        <v>36859.314324420608</v>
      </c>
    </row>
    <row r="107" spans="1:17" x14ac:dyDescent="0.25">
      <c r="A107" t="s">
        <v>40</v>
      </c>
      <c r="B107" s="1">
        <v>45659</v>
      </c>
      <c r="C107" s="1">
        <v>45690</v>
      </c>
      <c r="D107" t="str">
        <f>TEXT(OrdersYigaelIsrael[[#This Row],[Sell Date]],"yyyy-mm")</f>
        <v>2025-02</v>
      </c>
      <c r="E107" s="2">
        <v>85265.267000000007</v>
      </c>
      <c r="F107" s="2">
        <v>87890</v>
      </c>
      <c r="G107" s="21">
        <v>469</v>
      </c>
      <c r="H107">
        <f>OrdersYigaelIsrael[[#This Row],[Buy Price]]*OrdersYigaelIsrael[[#This Row],[Amount]]/100</f>
        <v>399894.10223000008</v>
      </c>
      <c r="I107">
        <f>OrdersYigaelIsrael[[#This Row],[Sell Price]]*OrdersYigaelIsrael[[#This Row],[Amount]]/100</f>
        <v>412204.1</v>
      </c>
      <c r="J107">
        <f>(OrdersYigaelIsrael[[#This Row],[Buy Value]]+OrdersYigaelIsrael[[#This Row],[Sell Value]])*0.0007</f>
        <v>568.468741561</v>
      </c>
      <c r="K107" s="19">
        <f>(OrdersYigaelIsrael[[#This Row],[Sell Value]]-OrdersYigaelIsrael[[#This Row],[Buy Value]]-OrdersYigaelIsrael[[#This Row],[Commission]]+OrdersYigaelIsrael[[#This Row],[Dividand]])/OrdersYigaelIsrael[[#This Row],[Buy Value]]</f>
        <v>2.9361595889918202E-2</v>
      </c>
      <c r="M107">
        <f>OrdersYigaelIsrael[[#This Row],[Sell Value]]-OrdersYigaelIsrael[[#This Row],[Buy Value]]+OrdersYigaelIsrael[[#This Row],[Dividand]]-OrdersYigaelIsrael[[#This Row],[Commission]]</f>
        <v>11741.529028438899</v>
      </c>
      <c r="N107">
        <f>SUM(INDEX(OrdersYigaelIsrael[P&amp;L],1):OrdersYigaelIsrael[[#This Row],[P&amp;L]])</f>
        <v>48600.843352859505</v>
      </c>
      <c r="P107" t="s">
        <v>83</v>
      </c>
      <c r="Q107" s="20">
        <f>SUMIFS(OrdersYigaelIsrael[P&amp;L], OrdersYigaelIsrael[Year-Month], "2025-01")</f>
        <v>-40830.24750374593</v>
      </c>
    </row>
    <row r="108" spans="1:17" x14ac:dyDescent="0.25">
      <c r="A108" t="s">
        <v>16</v>
      </c>
      <c r="B108" s="1">
        <v>45687</v>
      </c>
      <c r="C108" s="1">
        <v>45690</v>
      </c>
      <c r="D108" t="str">
        <f>TEXT(OrdersYigaelIsrael[[#This Row],[Sell Date]],"yyyy-mm")</f>
        <v>2025-02</v>
      </c>
      <c r="E108" s="2">
        <v>51903.703999999998</v>
      </c>
      <c r="F108" s="2">
        <v>52950</v>
      </c>
      <c r="G108" s="21">
        <v>756</v>
      </c>
      <c r="H108">
        <f>OrdersYigaelIsrael[[#This Row],[Buy Price]]*OrdersYigaelIsrael[[#This Row],[Amount]]/100</f>
        <v>392392.00224</v>
      </c>
      <c r="I108">
        <f>OrdersYigaelIsrael[[#This Row],[Sell Price]]*OrdersYigaelIsrael[[#This Row],[Amount]]/100</f>
        <v>400302</v>
      </c>
      <c r="J108">
        <f>(OrdersYigaelIsrael[[#This Row],[Buy Value]]+OrdersYigaelIsrael[[#This Row],[Sell Value]])*0.0007</f>
        <v>554.88580156800003</v>
      </c>
      <c r="K108" s="19">
        <f>(OrdersYigaelIsrael[[#This Row],[Sell Value]]-OrdersYigaelIsrael[[#This Row],[Buy Value]]-OrdersYigaelIsrael[[#This Row],[Commission]]+OrdersYigaelIsrael[[#This Row],[Dividand]])/OrdersYigaelIsrael[[#This Row],[Buy Value]]</f>
        <v>1.8744296306868576E-2</v>
      </c>
      <c r="M108">
        <f>OrdersYigaelIsrael[[#This Row],[Sell Value]]-OrdersYigaelIsrael[[#This Row],[Buy Value]]+OrdersYigaelIsrael[[#This Row],[Dividand]]-OrdersYigaelIsrael[[#This Row],[Commission]]</f>
        <v>7355.1119584319986</v>
      </c>
      <c r="N108">
        <f>SUM(INDEX(OrdersYigaelIsrael[P&amp;L],1):OrdersYigaelIsrael[[#This Row],[P&amp;L]])</f>
        <v>55955.955311291502</v>
      </c>
      <c r="Q108" s="20"/>
    </row>
    <row r="109" spans="1:17" x14ac:dyDescent="0.25">
      <c r="A109" t="s">
        <v>35</v>
      </c>
      <c r="B109" s="1">
        <v>45687</v>
      </c>
      <c r="C109" s="1">
        <v>45694</v>
      </c>
      <c r="D109" t="str">
        <f>TEXT(OrdersYigaelIsrael[[#This Row],[Sell Date]],"yyyy-mm")</f>
        <v>2025-02</v>
      </c>
      <c r="E109" s="2">
        <v>6535</v>
      </c>
      <c r="F109" s="2">
        <v>6155.76</v>
      </c>
      <c r="G109" s="21">
        <v>5034</v>
      </c>
      <c r="H109">
        <f>OrdersYigaelIsrael[[#This Row],[Buy Price]]*OrdersYigaelIsrael[[#This Row],[Amount]]/100</f>
        <v>328971.90000000002</v>
      </c>
      <c r="I109">
        <f>OrdersYigaelIsrael[[#This Row],[Sell Price]]*OrdersYigaelIsrael[[#This Row],[Amount]]/100</f>
        <v>309880.9584</v>
      </c>
      <c r="J109">
        <f>(OrdersYigaelIsrael[[#This Row],[Buy Value]]+OrdersYigaelIsrael[[#This Row],[Sell Value]])*0.0007</f>
        <v>447.19700088000002</v>
      </c>
      <c r="K109" s="19">
        <f>(OrdersYigaelIsrael[[#This Row],[Sell Value]]-OrdersYigaelIsrael[[#This Row],[Buy Value]]-OrdersYigaelIsrael[[#This Row],[Commission]]+OrdersYigaelIsrael[[#This Row],[Dividand]])/OrdersYigaelIsrael[[#This Row],[Buy Value]]</f>
        <v>-5.9391512165264025E-2</v>
      </c>
      <c r="M109">
        <f>OrdersYigaelIsrael[[#This Row],[Sell Value]]-OrdersYigaelIsrael[[#This Row],[Buy Value]]+OrdersYigaelIsrael[[#This Row],[Dividand]]-OrdersYigaelIsrael[[#This Row],[Commission]]</f>
        <v>-19538.138600880022</v>
      </c>
      <c r="N109">
        <f>SUM(INDEX(OrdersYigaelIsrael[P&amp;L],1):OrdersYigaelIsrael[[#This Row],[P&amp;L]])</f>
        <v>36417.816710411484</v>
      </c>
    </row>
    <row r="110" spans="1:17" x14ac:dyDescent="0.25">
      <c r="A110" t="s">
        <v>29</v>
      </c>
      <c r="B110" s="1">
        <v>45687</v>
      </c>
      <c r="C110" s="1">
        <v>45694</v>
      </c>
      <c r="D110" t="str">
        <f>TEXT(OrdersYigaelIsrael[[#This Row],[Sell Date]],"yyyy-mm")</f>
        <v>2025-02</v>
      </c>
      <c r="E110" s="2">
        <v>3736.1750000000002</v>
      </c>
      <c r="F110" s="2">
        <v>3811</v>
      </c>
      <c r="G110" s="21">
        <v>8475</v>
      </c>
      <c r="H110">
        <f>OrdersYigaelIsrael[[#This Row],[Buy Price]]*OrdersYigaelIsrael[[#This Row],[Amount]]/100</f>
        <v>316640.83124999999</v>
      </c>
      <c r="I110">
        <f>OrdersYigaelIsrael[[#This Row],[Sell Price]]*OrdersYigaelIsrael[[#This Row],[Amount]]/100</f>
        <v>322982.25</v>
      </c>
      <c r="J110">
        <f>(OrdersYigaelIsrael[[#This Row],[Buy Value]]+OrdersYigaelIsrael[[#This Row],[Sell Value]])*0.0007</f>
        <v>447.73615687500001</v>
      </c>
      <c r="K110" s="19">
        <f>(OrdersYigaelIsrael[[#This Row],[Sell Value]]-OrdersYigaelIsrael[[#This Row],[Buy Value]]-OrdersYigaelIsrael[[#This Row],[Commission]]+OrdersYigaelIsrael[[#This Row],[Dividand]])/OrdersYigaelIsrael[[#This Row],[Buy Value]]</f>
        <v>1.8613147804907464E-2</v>
      </c>
      <c r="M110">
        <f>OrdersYigaelIsrael[[#This Row],[Sell Value]]-OrdersYigaelIsrael[[#This Row],[Buy Value]]+OrdersYigaelIsrael[[#This Row],[Dividand]]-OrdersYigaelIsrael[[#This Row],[Commission]]</f>
        <v>5893.6825931250114</v>
      </c>
      <c r="N110">
        <f>SUM(INDEX(OrdersYigaelIsrael[P&amp;L],1):OrdersYigaelIsrael[[#This Row],[P&amp;L]])</f>
        <v>42311.499303536497</v>
      </c>
    </row>
    <row r="111" spans="1:17" x14ac:dyDescent="0.25">
      <c r="A111" t="s">
        <v>26</v>
      </c>
      <c r="B111" s="1">
        <v>45697</v>
      </c>
      <c r="C111" s="1">
        <v>45697</v>
      </c>
      <c r="D111" t="str">
        <f>TEXT(OrdersYigaelIsrael[[#This Row],[Sell Date]],"yyyy-mm")</f>
        <v>2025-02</v>
      </c>
      <c r="E111" s="2">
        <v>5800</v>
      </c>
      <c r="F111" s="2">
        <v>5920</v>
      </c>
      <c r="G111" s="21">
        <v>6723</v>
      </c>
      <c r="H111">
        <f>OrdersYigaelIsrael[[#This Row],[Buy Price]]*OrdersYigaelIsrael[[#This Row],[Amount]]/100</f>
        <v>389934</v>
      </c>
      <c r="I111">
        <f>OrdersYigaelIsrael[[#This Row],[Sell Price]]*OrdersYigaelIsrael[[#This Row],[Amount]]/100</f>
        <v>398001.6</v>
      </c>
      <c r="J111">
        <f>(OrdersYigaelIsrael[[#This Row],[Buy Value]]+OrdersYigaelIsrael[[#This Row],[Sell Value]])*0.0007</f>
        <v>551.55491999999992</v>
      </c>
      <c r="K111" s="19">
        <f>(OrdersYigaelIsrael[[#This Row],[Sell Value]]-OrdersYigaelIsrael[[#This Row],[Buy Value]]-OrdersYigaelIsrael[[#This Row],[Commission]]+OrdersYigaelIsrael[[#This Row],[Dividand]])/OrdersYigaelIsrael[[#This Row],[Buy Value]]</f>
        <v>1.9275172413793045E-2</v>
      </c>
      <c r="M111">
        <f>OrdersYigaelIsrael[[#This Row],[Sell Value]]-OrdersYigaelIsrael[[#This Row],[Buy Value]]+OrdersYigaelIsrael[[#This Row],[Dividand]]-OrdersYigaelIsrael[[#This Row],[Commission]]</f>
        <v>7516.0450799999771</v>
      </c>
      <c r="N111">
        <f>SUM(INDEX(OrdersYigaelIsrael[P&amp;L],1):OrdersYigaelIsrael[[#This Row],[P&amp;L]])</f>
        <v>49827.544383536471</v>
      </c>
      <c r="P111" t="s">
        <v>84</v>
      </c>
      <c r="Q111" s="20">
        <f>SUMIFS(OrdersYigaelIsrael[P&amp;L], OrdersYigaelIsrael[Year-Month], "2025-02")</f>
        <v>22785.408299444629</v>
      </c>
    </row>
    <row r="112" spans="1:17" x14ac:dyDescent="0.25">
      <c r="A112" t="s">
        <v>35</v>
      </c>
      <c r="B112" s="1">
        <v>45698</v>
      </c>
      <c r="C112" s="1">
        <v>45699</v>
      </c>
      <c r="D112" t="str">
        <f>TEXT(OrdersYigaelIsrael[[#This Row],[Sell Date]],"yyyy-mm")</f>
        <v>2025-02</v>
      </c>
      <c r="E112" s="2">
        <v>6046.3779999999997</v>
      </c>
      <c r="F112" s="2">
        <v>6057.02</v>
      </c>
      <c r="G112" s="21">
        <v>6611</v>
      </c>
      <c r="H112">
        <f>OrdersYigaelIsrael[[#This Row],[Buy Price]]*OrdersYigaelIsrael[[#This Row],[Amount]]/100</f>
        <v>399726.04957999999</v>
      </c>
      <c r="I112">
        <f>OrdersYigaelIsrael[[#This Row],[Sell Price]]*OrdersYigaelIsrael[[#This Row],[Amount]]/100</f>
        <v>400429.59220000007</v>
      </c>
      <c r="J112">
        <f>(OrdersYigaelIsrael[[#This Row],[Buy Value]]+OrdersYigaelIsrael[[#This Row],[Sell Value]])*0.0007</f>
        <v>560.10894924600007</v>
      </c>
      <c r="K112" s="19">
        <f>(OrdersYigaelIsrael[[#This Row],[Sell Value]]-OrdersYigaelIsrael[[#This Row],[Buy Value]]-OrdersYigaelIsrael[[#This Row],[Commission]]+OrdersYigaelIsrael[[#This Row],[Dividand]])/OrdersYigaelIsrael[[#This Row],[Buy Value]]</f>
        <v>3.5882993091090437E-4</v>
      </c>
      <c r="M112">
        <f>OrdersYigaelIsrael[[#This Row],[Sell Value]]-OrdersYigaelIsrael[[#This Row],[Buy Value]]+OrdersYigaelIsrael[[#This Row],[Dividand]]-OrdersYigaelIsrael[[#This Row],[Commission]]</f>
        <v>143.43367075408014</v>
      </c>
      <c r="N112">
        <f>SUM(INDEX(OrdersYigaelIsrael[P&amp;L],1):OrdersYigaelIsrael[[#This Row],[P&amp;L]])</f>
        <v>49970.97805429055</v>
      </c>
    </row>
    <row r="113" spans="1:17" x14ac:dyDescent="0.25">
      <c r="A113" t="s">
        <v>32</v>
      </c>
      <c r="B113" s="1">
        <v>45694</v>
      </c>
      <c r="C113" s="1">
        <v>45701</v>
      </c>
      <c r="D113" t="str">
        <f>TEXT(OrdersYigaelIsrael[[#This Row],[Sell Date]],"yyyy-mm")</f>
        <v>2025-02</v>
      </c>
      <c r="E113" s="2">
        <v>18910</v>
      </c>
      <c r="F113" s="2">
        <v>18955.564999999999</v>
      </c>
      <c r="G113" s="21">
        <v>3672</v>
      </c>
      <c r="H113">
        <f>OrdersYigaelIsrael[[#This Row],[Buy Price]]*OrdersYigaelIsrael[[#This Row],[Amount]]/100</f>
        <v>694375.2</v>
      </c>
      <c r="I113">
        <f>OrdersYigaelIsrael[[#This Row],[Sell Price]]*OrdersYigaelIsrael[[#This Row],[Amount]]/100</f>
        <v>696048.34679999994</v>
      </c>
      <c r="J113">
        <f>(OrdersYigaelIsrael[[#This Row],[Buy Value]]+OrdersYigaelIsrael[[#This Row],[Sell Value]])*0.0007</f>
        <v>973.29648275999989</v>
      </c>
      <c r="K113" s="19">
        <f>(OrdersYigaelIsrael[[#This Row],[Sell Value]]-OrdersYigaelIsrael[[#This Row],[Buy Value]]-OrdersYigaelIsrael[[#This Row],[Commission]]+OrdersYigaelIsrael[[#This Row],[Dividand]])/OrdersYigaelIsrael[[#This Row],[Buy Value]]</f>
        <v>1.0078849550502205E-3</v>
      </c>
      <c r="M113">
        <f>OrdersYigaelIsrael[[#This Row],[Sell Value]]-OrdersYigaelIsrael[[#This Row],[Buy Value]]+OrdersYigaelIsrael[[#This Row],[Dividand]]-OrdersYigaelIsrael[[#This Row],[Commission]]</f>
        <v>699.85031723998782</v>
      </c>
      <c r="N113">
        <f>SUM(INDEX(OrdersYigaelIsrael[P&amp;L],1):OrdersYigaelIsrael[[#This Row],[P&amp;L]])</f>
        <v>50670.828371530537</v>
      </c>
    </row>
    <row r="114" spans="1:17" x14ac:dyDescent="0.25">
      <c r="A114" t="s">
        <v>85</v>
      </c>
      <c r="B114" s="1">
        <v>45699</v>
      </c>
      <c r="C114" s="1">
        <v>45701</v>
      </c>
      <c r="D114" t="str">
        <f>TEXT(OrdersYigaelIsrael[[#This Row],[Sell Date]],"yyyy-mm")</f>
        <v>2025-02</v>
      </c>
      <c r="E114" s="2">
        <v>2092.5590000000002</v>
      </c>
      <c r="F114" s="2">
        <v>2057.0340000000001</v>
      </c>
      <c r="G114" s="21">
        <v>19092</v>
      </c>
      <c r="H114">
        <f>OrdersYigaelIsrael[[#This Row],[Buy Price]]*OrdersYigaelIsrael[[#This Row],[Amount]]/100</f>
        <v>399511.36428000004</v>
      </c>
      <c r="I114">
        <f>OrdersYigaelIsrael[[#This Row],[Sell Price]]*OrdersYigaelIsrael[[#This Row],[Amount]]/100</f>
        <v>392728.93127999996</v>
      </c>
      <c r="J114">
        <f>(OrdersYigaelIsrael[[#This Row],[Buy Value]]+OrdersYigaelIsrael[[#This Row],[Sell Value]])*0.0007</f>
        <v>554.56820689200003</v>
      </c>
      <c r="K114" s="19">
        <f>(OrdersYigaelIsrael[[#This Row],[Sell Value]]-OrdersYigaelIsrael[[#This Row],[Buy Value]]-OrdersYigaelIsrael[[#This Row],[Commission]]+OrdersYigaelIsrael[[#This Row],[Dividand]])/OrdersYigaelIsrael[[#This Row],[Buy Value]]</f>
        <v>-1.8364937428287757E-2</v>
      </c>
      <c r="M114">
        <f>OrdersYigaelIsrael[[#This Row],[Sell Value]]-OrdersYigaelIsrael[[#This Row],[Buy Value]]+OrdersYigaelIsrael[[#This Row],[Dividand]]-OrdersYigaelIsrael[[#This Row],[Commission]]</f>
        <v>-7337.0012068920769</v>
      </c>
      <c r="N114">
        <f>SUM(INDEX(OrdersYigaelIsrael[P&amp;L],1):OrdersYigaelIsrael[[#This Row],[P&amp;L]])</f>
        <v>43333.82716463846</v>
      </c>
    </row>
    <row r="115" spans="1:17" x14ac:dyDescent="0.25">
      <c r="A115" t="s">
        <v>85</v>
      </c>
      <c r="B115" s="1">
        <v>45701</v>
      </c>
      <c r="C115" s="1">
        <v>45705</v>
      </c>
      <c r="D115" t="str">
        <f>TEXT(OrdersYigaelIsrael[[#This Row],[Sell Date]],"yyyy-mm")</f>
        <v>2025-02</v>
      </c>
      <c r="E115" s="2">
        <v>2073.902</v>
      </c>
      <c r="F115" s="2">
        <v>2052</v>
      </c>
      <c r="G115" s="21">
        <v>26711</v>
      </c>
      <c r="H115">
        <f>OrdersYigaelIsrael[[#This Row],[Buy Price]]*OrdersYigaelIsrael[[#This Row],[Amount]]/100</f>
        <v>553959.96322000003</v>
      </c>
      <c r="I115">
        <f>OrdersYigaelIsrael[[#This Row],[Sell Price]]*OrdersYigaelIsrael[[#This Row],[Amount]]/100</f>
        <v>548109.72</v>
      </c>
      <c r="J115">
        <f>(OrdersYigaelIsrael[[#This Row],[Buy Value]]+OrdersYigaelIsrael[[#This Row],[Sell Value]])*0.0007</f>
        <v>771.44877825399999</v>
      </c>
      <c r="K115" s="19">
        <f>(OrdersYigaelIsrael[[#This Row],[Sell Value]]-OrdersYigaelIsrael[[#This Row],[Buy Value]]-OrdersYigaelIsrael[[#This Row],[Commission]]+OrdersYigaelIsrael[[#This Row],[Dividand]])/OrdersYigaelIsrael[[#This Row],[Buy Value]]</f>
        <v>-1.1953376485484961E-2</v>
      </c>
      <c r="M115">
        <f>OrdersYigaelIsrael[[#This Row],[Sell Value]]-OrdersYigaelIsrael[[#This Row],[Buy Value]]+OrdersYigaelIsrael[[#This Row],[Dividand]]-OrdersYigaelIsrael[[#This Row],[Commission]]</f>
        <v>-6621.6919982540621</v>
      </c>
      <c r="N115">
        <f>SUM(INDEX(OrdersYigaelIsrael[P&amp;L],1):OrdersYigaelIsrael[[#This Row],[P&amp;L]])</f>
        <v>36712.135166384396</v>
      </c>
    </row>
    <row r="116" spans="1:17" x14ac:dyDescent="0.25">
      <c r="A116" t="s">
        <v>35</v>
      </c>
      <c r="B116" s="1">
        <v>45701</v>
      </c>
      <c r="C116" s="1">
        <v>45706</v>
      </c>
      <c r="D116" t="str">
        <f>TEXT(OrdersYigaelIsrael[[#This Row],[Sell Date]],"yyyy-mm")</f>
        <v>2025-02</v>
      </c>
      <c r="E116" s="2">
        <v>5942.63</v>
      </c>
      <c r="F116" s="2">
        <v>6061</v>
      </c>
      <c r="G116" s="21">
        <v>8418</v>
      </c>
      <c r="H116">
        <f>OrdersYigaelIsrael[[#This Row],[Buy Price]]*OrdersYigaelIsrael[[#This Row],[Amount]]/100</f>
        <v>500250.59340000001</v>
      </c>
      <c r="I116">
        <f>OrdersYigaelIsrael[[#This Row],[Sell Price]]*OrdersYigaelIsrael[[#This Row],[Amount]]/100</f>
        <v>510214.98</v>
      </c>
      <c r="J116">
        <f>(OrdersYigaelIsrael[[#This Row],[Buy Value]]+OrdersYigaelIsrael[[#This Row],[Sell Value]])*0.0007</f>
        <v>707.32590138</v>
      </c>
      <c r="K116" s="19">
        <f>(OrdersYigaelIsrael[[#This Row],[Sell Value]]-OrdersYigaelIsrael[[#This Row],[Buy Value]]-OrdersYigaelIsrael[[#This Row],[Commission]]+OrdersYigaelIsrael[[#This Row],[Dividand]])/OrdersYigaelIsrael[[#This Row],[Buy Value]]</f>
        <v>1.8504847012181413E-2</v>
      </c>
      <c r="M116">
        <f>OrdersYigaelIsrael[[#This Row],[Sell Value]]-OrdersYigaelIsrael[[#This Row],[Buy Value]]+OrdersYigaelIsrael[[#This Row],[Dividand]]-OrdersYigaelIsrael[[#This Row],[Commission]]</f>
        <v>9257.0606986199691</v>
      </c>
      <c r="N116">
        <f>SUM(INDEX(OrdersYigaelIsrael[P&amp;L],1):OrdersYigaelIsrael[[#This Row],[P&amp;L]])</f>
        <v>45969.195865004367</v>
      </c>
    </row>
    <row r="117" spans="1:17" x14ac:dyDescent="0.25">
      <c r="A117" t="s">
        <v>30</v>
      </c>
      <c r="B117" s="1">
        <v>45705</v>
      </c>
      <c r="C117" s="1">
        <v>45708</v>
      </c>
      <c r="D117" t="str">
        <f>TEXT(OrdersYigaelIsrael[[#This Row],[Sell Date]],"yyyy-mm")</f>
        <v>2025-02</v>
      </c>
      <c r="E117" s="2">
        <v>16997.64</v>
      </c>
      <c r="F117" s="2">
        <v>17250</v>
      </c>
      <c r="G117" s="21">
        <v>2941</v>
      </c>
      <c r="H117">
        <f>OrdersYigaelIsrael[[#This Row],[Buy Price]]*OrdersYigaelIsrael[[#This Row],[Amount]]/100</f>
        <v>499900.59239999996</v>
      </c>
      <c r="I117">
        <f>OrdersYigaelIsrael[[#This Row],[Sell Price]]*OrdersYigaelIsrael[[#This Row],[Amount]]/100</f>
        <v>507322.5</v>
      </c>
      <c r="J117">
        <f>(OrdersYigaelIsrael[[#This Row],[Buy Value]]+OrdersYigaelIsrael[[#This Row],[Sell Value]])*0.0007</f>
        <v>705.05616467999994</v>
      </c>
      <c r="K117" s="19">
        <f>(OrdersYigaelIsrael[[#This Row],[Sell Value]]-OrdersYigaelIsrael[[#This Row],[Buy Value]]-OrdersYigaelIsrael[[#This Row],[Commission]]+OrdersYigaelIsrael[[#This Row],[Dividand]])/OrdersYigaelIsrael[[#This Row],[Buy Value]]</f>
        <v>1.3436374226069102E-2</v>
      </c>
      <c r="M117">
        <f>OrdersYigaelIsrael[[#This Row],[Sell Value]]-OrdersYigaelIsrael[[#This Row],[Buy Value]]+OrdersYigaelIsrael[[#This Row],[Dividand]]-OrdersYigaelIsrael[[#This Row],[Commission]]</f>
        <v>6716.8514353200353</v>
      </c>
      <c r="N117">
        <f>SUM(INDEX(OrdersYigaelIsrael[P&amp;L],1):OrdersYigaelIsrael[[#This Row],[P&amp;L]])</f>
        <v>52686.047300324404</v>
      </c>
    </row>
    <row r="118" spans="1:17" x14ac:dyDescent="0.25">
      <c r="A118" t="s">
        <v>86</v>
      </c>
      <c r="B118" s="1">
        <v>45708</v>
      </c>
      <c r="C118" s="1">
        <v>45708</v>
      </c>
      <c r="D118" t="str">
        <f>TEXT(OrdersYigaelIsrael[[#This Row],[Sell Date]],"yyyy-mm")</f>
        <v>2025-02</v>
      </c>
      <c r="E118" s="2">
        <v>28100</v>
      </c>
      <c r="F118" s="2">
        <v>27970</v>
      </c>
      <c r="G118" s="21">
        <v>1010</v>
      </c>
      <c r="H118">
        <f>OrdersYigaelIsrael[[#This Row],[Buy Price]]*OrdersYigaelIsrael[[#This Row],[Amount]]/100</f>
        <v>283810</v>
      </c>
      <c r="I118">
        <f>OrdersYigaelIsrael[[#This Row],[Sell Price]]*OrdersYigaelIsrael[[#This Row],[Amount]]/100</f>
        <v>282497</v>
      </c>
      <c r="J118">
        <f>(OrdersYigaelIsrael[[#This Row],[Buy Value]]+OrdersYigaelIsrael[[#This Row],[Sell Value]])*0.0007</f>
        <v>396.41489999999999</v>
      </c>
      <c r="K118" s="19">
        <f>(OrdersYigaelIsrael[[#This Row],[Sell Value]]-OrdersYigaelIsrael[[#This Row],[Buy Value]]-OrdersYigaelIsrael[[#This Row],[Commission]]+OrdersYigaelIsrael[[#This Row],[Dividand]])/OrdersYigaelIsrael[[#This Row],[Buy Value]]</f>
        <v>-6.0230960854092529E-3</v>
      </c>
      <c r="M118">
        <f>OrdersYigaelIsrael[[#This Row],[Sell Value]]-OrdersYigaelIsrael[[#This Row],[Buy Value]]+OrdersYigaelIsrael[[#This Row],[Dividand]]-OrdersYigaelIsrael[[#This Row],[Commission]]</f>
        <v>-1709.4149</v>
      </c>
      <c r="N118">
        <f>SUM(INDEX(OrdersYigaelIsrael[P&amp;L],1):OrdersYigaelIsrael[[#This Row],[P&amp;L]])</f>
        <v>50976.632400324401</v>
      </c>
    </row>
    <row r="119" spans="1:17" x14ac:dyDescent="0.25">
      <c r="A119" t="s">
        <v>39</v>
      </c>
      <c r="B119" s="1">
        <v>45712</v>
      </c>
      <c r="C119" s="1">
        <v>45715</v>
      </c>
      <c r="D119" t="str">
        <f>TEXT(OrdersYigaelIsrael[[#This Row],[Sell Date]],"yyyy-mm")</f>
        <v>2025-02</v>
      </c>
      <c r="E119" s="2">
        <v>19020</v>
      </c>
      <c r="F119" s="2">
        <v>19400</v>
      </c>
      <c r="G119" s="21">
        <v>1816</v>
      </c>
      <c r="H119">
        <f>OrdersYigaelIsrael[[#This Row],[Buy Price]]*OrdersYigaelIsrael[[#This Row],[Amount]]/100</f>
        <v>345403.2</v>
      </c>
      <c r="I119">
        <f>OrdersYigaelIsrael[[#This Row],[Sell Price]]*OrdersYigaelIsrael[[#This Row],[Amount]]/100</f>
        <v>352304</v>
      </c>
      <c r="J119">
        <f>(OrdersYigaelIsrael[[#This Row],[Buy Value]]+OrdersYigaelIsrael[[#This Row],[Sell Value]])*0.0007</f>
        <v>488.39503999999994</v>
      </c>
      <c r="K119" s="19">
        <f>(OrdersYigaelIsrael[[#This Row],[Sell Value]]-OrdersYigaelIsrael[[#This Row],[Buy Value]]-OrdersYigaelIsrael[[#This Row],[Commission]]+OrdersYigaelIsrael[[#This Row],[Dividand]])/OrdersYigaelIsrael[[#This Row],[Buy Value]]</f>
        <v>1.8564984227129301E-2</v>
      </c>
      <c r="M119">
        <f>OrdersYigaelIsrael[[#This Row],[Sell Value]]-OrdersYigaelIsrael[[#This Row],[Buy Value]]+OrdersYigaelIsrael[[#This Row],[Dividand]]-OrdersYigaelIsrael[[#This Row],[Commission]]</f>
        <v>6412.404959999988</v>
      </c>
      <c r="N119">
        <f>SUM(INDEX(OrdersYigaelIsrael[P&amp;L],1):OrdersYigaelIsrael[[#This Row],[P&amp;L]])</f>
        <v>57389.037360324386</v>
      </c>
    </row>
    <row r="120" spans="1:17" x14ac:dyDescent="0.25">
      <c r="A120" t="s">
        <v>35</v>
      </c>
      <c r="B120" s="1">
        <v>45715</v>
      </c>
      <c r="C120" s="1">
        <v>45715</v>
      </c>
      <c r="D120" t="str">
        <f>TEXT(OrdersYigaelIsrael[[#This Row],[Sell Date]],"yyyy-mm")</f>
        <v>2025-02</v>
      </c>
      <c r="E120" s="2">
        <v>5922.0454540000001</v>
      </c>
      <c r="F120" s="2">
        <v>5968.2030000000004</v>
      </c>
      <c r="G120" s="21">
        <v>5962</v>
      </c>
      <c r="H120">
        <f>OrdersYigaelIsrael[[#This Row],[Buy Price]]*OrdersYigaelIsrael[[#This Row],[Amount]]/100</f>
        <v>353072.34996748</v>
      </c>
      <c r="I120">
        <f>OrdersYigaelIsrael[[#This Row],[Sell Price]]*OrdersYigaelIsrael[[#This Row],[Amount]]/100</f>
        <v>355824.26286000008</v>
      </c>
      <c r="J120">
        <f>(OrdersYigaelIsrael[[#This Row],[Buy Value]]+OrdersYigaelIsrael[[#This Row],[Sell Value]])*0.0007</f>
        <v>496.22762897923604</v>
      </c>
      <c r="K120" s="19">
        <f>(OrdersYigaelIsrael[[#This Row],[Sell Value]]-OrdersYigaelIsrael[[#This Row],[Buy Value]]-OrdersYigaelIsrael[[#This Row],[Commission]]+OrdersYigaelIsrael[[#This Row],[Dividand]])/OrdersYigaelIsrael[[#This Row],[Buy Value]]</f>
        <v>6.3887338211236419E-3</v>
      </c>
      <c r="M120">
        <f>OrdersYigaelIsrael[[#This Row],[Sell Value]]-OrdersYigaelIsrael[[#This Row],[Buy Value]]+OrdersYigaelIsrael[[#This Row],[Dividand]]-OrdersYigaelIsrael[[#This Row],[Commission]]</f>
        <v>2255.6852635408422</v>
      </c>
      <c r="N120">
        <f>SUM(INDEX(OrdersYigaelIsrael[P&amp;L],1):OrdersYigaelIsrael[[#This Row],[P&amp;L]])</f>
        <v>59644.722623865229</v>
      </c>
      <c r="P120" t="s">
        <v>88</v>
      </c>
      <c r="Q120" s="20">
        <f>SUMIFS(OrdersYigaelIsrael[P&amp;L], OrdersYigaelIsrael[Year-Month], "2025-03")</f>
        <v>24544.357780408129</v>
      </c>
    </row>
    <row r="121" spans="1:17" x14ac:dyDescent="0.25">
      <c r="A121" t="s">
        <v>85</v>
      </c>
      <c r="B121" s="1">
        <v>45708</v>
      </c>
      <c r="C121" s="1">
        <v>45719</v>
      </c>
      <c r="D121" t="str">
        <f>TEXT(OrdersYigaelIsrael[[#This Row],[Sell Date]],"yyyy-mm")</f>
        <v>2025-03</v>
      </c>
      <c r="E121" s="2">
        <v>2004.6568789999999</v>
      </c>
      <c r="F121" s="2">
        <v>1910.4960000000001</v>
      </c>
      <c r="G121" s="21">
        <v>17500</v>
      </c>
      <c r="H121">
        <f>OrdersYigaelIsrael[[#This Row],[Buy Price]]*OrdersYigaelIsrael[[#This Row],[Amount]]/100</f>
        <v>350814.95382499998</v>
      </c>
      <c r="I121">
        <f>OrdersYigaelIsrael[[#This Row],[Sell Price]]*OrdersYigaelIsrael[[#This Row],[Amount]]/100</f>
        <v>334336.8</v>
      </c>
      <c r="J121">
        <f>(OrdersYigaelIsrael[[#This Row],[Buy Value]]+OrdersYigaelIsrael[[#This Row],[Sell Value]])*0.0007</f>
        <v>479.60622767749999</v>
      </c>
      <c r="K121" s="19">
        <f>(OrdersYigaelIsrael[[#This Row],[Sell Value]]-OrdersYigaelIsrael[[#This Row],[Buy Value]]-OrdersYigaelIsrael[[#This Row],[Commission]]+OrdersYigaelIsrael[[#This Row],[Dividand]])/OrdersYigaelIsrael[[#This Row],[Buy Value]]</f>
        <v>-4.8338190455634547E-2</v>
      </c>
      <c r="M121">
        <f>OrdersYigaelIsrael[[#This Row],[Sell Value]]-OrdersYigaelIsrael[[#This Row],[Buy Value]]+OrdersYigaelIsrael[[#This Row],[Dividand]]-OrdersYigaelIsrael[[#This Row],[Commission]]</f>
        <v>-16957.760052677488</v>
      </c>
      <c r="N121">
        <f>SUM(INDEX(OrdersYigaelIsrael[P&amp;L],1):OrdersYigaelIsrael[[#This Row],[P&amp;L]])</f>
        <v>42686.962571187745</v>
      </c>
    </row>
    <row r="122" spans="1:17" x14ac:dyDescent="0.25">
      <c r="A122" t="s">
        <v>40</v>
      </c>
      <c r="B122" s="1">
        <v>45715</v>
      </c>
      <c r="C122" s="1">
        <v>45719</v>
      </c>
      <c r="D122" t="str">
        <f>TEXT(OrdersYigaelIsrael[[#This Row],[Sell Date]],"yyyy-mm")</f>
        <v>2025-03</v>
      </c>
      <c r="E122" s="2">
        <v>87779.697700000004</v>
      </c>
      <c r="F122" s="2">
        <v>89530</v>
      </c>
      <c r="G122" s="21">
        <v>397</v>
      </c>
      <c r="H122">
        <f>OrdersYigaelIsrael[[#This Row],[Buy Price]]*OrdersYigaelIsrael[[#This Row],[Amount]]/100</f>
        <v>348485.39986900002</v>
      </c>
      <c r="I122">
        <f>OrdersYigaelIsrael[[#This Row],[Sell Price]]*OrdersYigaelIsrael[[#This Row],[Amount]]/100</f>
        <v>355434.1</v>
      </c>
      <c r="J122">
        <f>(OrdersYigaelIsrael[[#This Row],[Buy Value]]+OrdersYigaelIsrael[[#This Row],[Sell Value]])*0.0007</f>
        <v>492.74364990829997</v>
      </c>
      <c r="K122" s="19">
        <f>(OrdersYigaelIsrael[[#This Row],[Sell Value]]-OrdersYigaelIsrael[[#This Row],[Buy Value]]-OrdersYigaelIsrael[[#This Row],[Commission]]+OrdersYigaelIsrael[[#This Row],[Dividand]])/OrdersYigaelIsrael[[#This Row],[Buy Value]]</f>
        <v>1.8525758851069617E-2</v>
      </c>
      <c r="M122">
        <f>OrdersYigaelIsrael[[#This Row],[Sell Value]]-OrdersYigaelIsrael[[#This Row],[Buy Value]]+OrdersYigaelIsrael[[#This Row],[Dividand]]-OrdersYigaelIsrael[[#This Row],[Commission]]</f>
        <v>6455.9564810916618</v>
      </c>
      <c r="N122">
        <f>SUM(INDEX(OrdersYigaelIsrael[P&amp;L],1):OrdersYigaelIsrael[[#This Row],[P&amp;L]])</f>
        <v>49142.919052279409</v>
      </c>
    </row>
    <row r="123" spans="1:17" x14ac:dyDescent="0.25">
      <c r="A123" t="s">
        <v>30</v>
      </c>
      <c r="B123" s="1">
        <v>45708</v>
      </c>
      <c r="C123" s="1">
        <v>45721</v>
      </c>
      <c r="D123" t="str">
        <f>TEXT(OrdersYigaelIsrael[[#This Row],[Sell Date]],"yyyy-mm")</f>
        <v>2025-03</v>
      </c>
      <c r="E123" s="2">
        <v>17266.609</v>
      </c>
      <c r="F123">
        <v>16967.47</v>
      </c>
      <c r="G123" s="21">
        <v>2200</v>
      </c>
      <c r="H123">
        <f>OrdersYigaelIsrael[[#This Row],[Buy Price]]*OrdersYigaelIsrael[[#This Row],[Amount]]/100</f>
        <v>379865.39800000004</v>
      </c>
      <c r="I123">
        <f>OrdersYigaelIsrael[[#This Row],[Sell Price]]*OrdersYigaelIsrael[[#This Row],[Amount]]/100</f>
        <v>373284.34</v>
      </c>
      <c r="J123">
        <f>(OrdersYigaelIsrael[[#This Row],[Buy Value]]+OrdersYigaelIsrael[[#This Row],[Sell Value]])*0.0007</f>
        <v>527.20481660000007</v>
      </c>
      <c r="K123" s="19">
        <f>(OrdersYigaelIsrael[[#This Row],[Sell Value]]-OrdersYigaelIsrael[[#This Row],[Buy Value]]-OrdersYigaelIsrael[[#This Row],[Commission]]+OrdersYigaelIsrael[[#This Row],[Dividand]])/OrdersYigaelIsrael[[#This Row],[Buy Value]]</f>
        <v>-1.8712583072912629E-2</v>
      </c>
      <c r="M123">
        <f>OrdersYigaelIsrael[[#This Row],[Sell Value]]-OrdersYigaelIsrael[[#This Row],[Buy Value]]+OrdersYigaelIsrael[[#This Row],[Dividand]]-OrdersYigaelIsrael[[#This Row],[Commission]]</f>
        <v>-7108.2628166000195</v>
      </c>
      <c r="N123">
        <f>SUM(INDEX(OrdersYigaelIsrael[P&amp;L],1):OrdersYigaelIsrael[[#This Row],[P&amp;L]])</f>
        <v>42034.656235679387</v>
      </c>
    </row>
    <row r="124" spans="1:17" x14ac:dyDescent="0.25">
      <c r="A124" t="s">
        <v>87</v>
      </c>
      <c r="B124" s="1">
        <v>45719</v>
      </c>
      <c r="C124" s="1">
        <v>45721</v>
      </c>
      <c r="D124" t="str">
        <f>TEXT(OrdersYigaelIsrael[[#This Row],[Sell Date]],"yyyy-mm")</f>
        <v>2025-03</v>
      </c>
      <c r="E124" s="2">
        <v>4652.2110000000002</v>
      </c>
      <c r="F124" s="2">
        <v>4460.3230000000003</v>
      </c>
      <c r="G124" s="21">
        <v>7758</v>
      </c>
      <c r="H124">
        <f>OrdersYigaelIsrael[[#This Row],[Buy Price]]*OrdersYigaelIsrael[[#This Row],[Amount]]/100</f>
        <v>360918.52938000002</v>
      </c>
      <c r="I124">
        <f>OrdersYigaelIsrael[[#This Row],[Sell Price]]*OrdersYigaelIsrael[[#This Row],[Amount]]/100</f>
        <v>346031.85833999998</v>
      </c>
      <c r="J124">
        <f>(OrdersYigaelIsrael[[#This Row],[Buy Value]]+OrdersYigaelIsrael[[#This Row],[Sell Value]])*0.0007</f>
        <v>494.865271404</v>
      </c>
      <c r="K124" s="19">
        <f>(OrdersYigaelIsrael[[#This Row],[Sell Value]]-OrdersYigaelIsrael[[#This Row],[Buy Value]]-OrdersYigaelIsrael[[#This Row],[Commission]]+OrdersYigaelIsrael[[#This Row],[Dividand]])/OrdersYigaelIsrael[[#This Row],[Buy Value]]</f>
        <v>-4.2617751817361799E-2</v>
      </c>
      <c r="M124">
        <f>OrdersYigaelIsrael[[#This Row],[Sell Value]]-OrdersYigaelIsrael[[#This Row],[Buy Value]]+OrdersYigaelIsrael[[#This Row],[Dividand]]-OrdersYigaelIsrael[[#This Row],[Commission]]</f>
        <v>-15381.536311404045</v>
      </c>
      <c r="N124">
        <f>SUM(INDEX(OrdersYigaelIsrael[P&amp;L],1):OrdersYigaelIsrael[[#This Row],[P&amp;L]])</f>
        <v>26653.119924275343</v>
      </c>
    </row>
    <row r="125" spans="1:17" x14ac:dyDescent="0.25">
      <c r="A125" t="s">
        <v>39</v>
      </c>
      <c r="B125" s="1">
        <v>45720</v>
      </c>
      <c r="C125" s="1">
        <v>45721</v>
      </c>
      <c r="D125" t="str">
        <f>TEXT(OrdersYigaelIsrael[[#This Row],[Sell Date]],"yyyy-mm")</f>
        <v>2025-03</v>
      </c>
      <c r="E125" s="2">
        <v>18887.125</v>
      </c>
      <c r="F125" s="2">
        <v>19000</v>
      </c>
      <c r="G125" s="21">
        <v>1854</v>
      </c>
      <c r="H125">
        <f>OrdersYigaelIsrael[[#This Row],[Buy Price]]*OrdersYigaelIsrael[[#This Row],[Amount]]/100</f>
        <v>350167.29749999999</v>
      </c>
      <c r="I125">
        <f>OrdersYigaelIsrael[[#This Row],[Sell Price]]*OrdersYigaelIsrael[[#This Row],[Amount]]/100</f>
        <v>352260</v>
      </c>
      <c r="J125">
        <f>(OrdersYigaelIsrael[[#This Row],[Buy Value]]+OrdersYigaelIsrael[[#This Row],[Sell Value]])*0.0007</f>
        <v>491.69910824999999</v>
      </c>
      <c r="K125" s="19">
        <f>(OrdersYigaelIsrael[[#This Row],[Sell Value]]-OrdersYigaelIsrael[[#This Row],[Buy Value]]-OrdersYigaelIsrael[[#This Row],[Commission]]+OrdersYigaelIsrael[[#This Row],[Dividand]])/OrdersYigaelIsrael[[#This Row],[Buy Value]]</f>
        <v>4.5721099690927422E-3</v>
      </c>
      <c r="M125">
        <f>OrdersYigaelIsrael[[#This Row],[Sell Value]]-OrdersYigaelIsrael[[#This Row],[Buy Value]]+OrdersYigaelIsrael[[#This Row],[Dividand]]-OrdersYigaelIsrael[[#This Row],[Commission]]</f>
        <v>1601.0033917500141</v>
      </c>
      <c r="N125">
        <f>SUM(INDEX(OrdersYigaelIsrael[P&amp;L],1):OrdersYigaelIsrael[[#This Row],[P&amp;L]])</f>
        <v>28254.123316025358</v>
      </c>
    </row>
    <row r="126" spans="1:17" x14ac:dyDescent="0.25">
      <c r="A126" t="s">
        <v>40</v>
      </c>
      <c r="B126" s="1">
        <v>45722</v>
      </c>
      <c r="C126" s="1">
        <v>45725</v>
      </c>
      <c r="D126" t="str">
        <f>TEXT(OrdersYigaelIsrael[[#This Row],[Sell Date]],"yyyy-mm")</f>
        <v>2025-03</v>
      </c>
      <c r="E126" s="2">
        <v>79000</v>
      </c>
      <c r="F126" s="2">
        <v>82000</v>
      </c>
      <c r="G126" s="21">
        <v>423</v>
      </c>
      <c r="H126">
        <f>OrdersYigaelIsrael[[#This Row],[Buy Price]]*OrdersYigaelIsrael[[#This Row],[Amount]]/100</f>
        <v>334170</v>
      </c>
      <c r="I126">
        <f>OrdersYigaelIsrael[[#This Row],[Sell Price]]*OrdersYigaelIsrael[[#This Row],[Amount]]/100</f>
        <v>346860</v>
      </c>
      <c r="J126">
        <f>(OrdersYigaelIsrael[[#This Row],[Buy Value]]+OrdersYigaelIsrael[[#This Row],[Sell Value]])*0.0007</f>
        <v>476.721</v>
      </c>
      <c r="K126" s="19">
        <f>(OrdersYigaelIsrael[[#This Row],[Sell Value]]-OrdersYigaelIsrael[[#This Row],[Buy Value]]-OrdersYigaelIsrael[[#This Row],[Commission]]+OrdersYigaelIsrael[[#This Row],[Dividand]])/OrdersYigaelIsrael[[#This Row],[Buy Value]]</f>
        <v>3.6548101265822787E-2</v>
      </c>
      <c r="M126">
        <f>OrdersYigaelIsrael[[#This Row],[Sell Value]]-OrdersYigaelIsrael[[#This Row],[Buy Value]]+OrdersYigaelIsrael[[#This Row],[Dividand]]-OrdersYigaelIsrael[[#This Row],[Commission]]</f>
        <v>12213.279</v>
      </c>
      <c r="N126">
        <f>SUM(INDEX(OrdersYigaelIsrael[P&amp;L],1):OrdersYigaelIsrael[[#This Row],[P&amp;L]])</f>
        <v>40467.402316025356</v>
      </c>
    </row>
    <row r="127" spans="1:17" x14ac:dyDescent="0.25">
      <c r="A127" t="s">
        <v>39</v>
      </c>
      <c r="B127" s="1">
        <v>45722</v>
      </c>
      <c r="C127" s="1">
        <v>45728</v>
      </c>
      <c r="D127" t="str">
        <f>TEXT(OrdersYigaelIsrael[[#This Row],[Sell Date]],"yyyy-mm")</f>
        <v>2025-03</v>
      </c>
      <c r="E127" s="2">
        <v>19033.473999999998</v>
      </c>
      <c r="F127" s="2">
        <v>19610</v>
      </c>
      <c r="G127" s="21">
        <v>1733</v>
      </c>
      <c r="H127">
        <f>OrdersYigaelIsrael[[#This Row],[Buy Price]]*OrdersYigaelIsrael[[#This Row],[Amount]]/100</f>
        <v>329850.10441999999</v>
      </c>
      <c r="I127">
        <f>OrdersYigaelIsrael[[#This Row],[Sell Price]]*OrdersYigaelIsrael[[#This Row],[Amount]]/100</f>
        <v>339841.3</v>
      </c>
      <c r="J127">
        <f>(OrdersYigaelIsrael[[#This Row],[Buy Value]]+OrdersYigaelIsrael[[#This Row],[Sell Value]])*0.0007</f>
        <v>468.78398309400001</v>
      </c>
      <c r="K127" s="19">
        <f>(OrdersYigaelIsrael[[#This Row],[Sell Value]]-OrdersYigaelIsrael[[#This Row],[Buy Value]]-OrdersYigaelIsrael[[#This Row],[Commission]]+OrdersYigaelIsrael[[#This Row],[Dividand]])/OrdersYigaelIsrael[[#This Row],[Buy Value]]</f>
        <v>2.8868905812990314E-2</v>
      </c>
      <c r="M127">
        <f>OrdersYigaelIsrael[[#This Row],[Sell Value]]-OrdersYigaelIsrael[[#This Row],[Buy Value]]+OrdersYigaelIsrael[[#This Row],[Dividand]]-OrdersYigaelIsrael[[#This Row],[Commission]]</f>
        <v>9522.4115969060003</v>
      </c>
      <c r="N127">
        <f>SUM(INDEX(OrdersYigaelIsrael[P&amp;L],1):OrdersYigaelIsrael[[#This Row],[P&amp;L]])</f>
        <v>49989.813912931357</v>
      </c>
    </row>
    <row r="128" spans="1:17" x14ac:dyDescent="0.25">
      <c r="A128" t="s">
        <v>34</v>
      </c>
      <c r="B128" s="1">
        <v>45722</v>
      </c>
      <c r="C128" s="1">
        <v>45728</v>
      </c>
      <c r="D128" t="str">
        <f>TEXT(OrdersYigaelIsrael[[#This Row],[Sell Date]],"yyyy-mm")</f>
        <v>2025-03</v>
      </c>
      <c r="E128" s="2">
        <v>16820.088</v>
      </c>
      <c r="F128" s="2">
        <v>17160</v>
      </c>
      <c r="G128" s="21">
        <v>2386</v>
      </c>
      <c r="H128">
        <f>OrdersYigaelIsrael[[#This Row],[Buy Price]]*OrdersYigaelIsrael[[#This Row],[Amount]]/100</f>
        <v>401327.29968</v>
      </c>
      <c r="I128">
        <f>OrdersYigaelIsrael[[#This Row],[Sell Price]]*OrdersYigaelIsrael[[#This Row],[Amount]]/100</f>
        <v>409437.6</v>
      </c>
      <c r="J128">
        <f>(OrdersYigaelIsrael[[#This Row],[Buy Value]]+OrdersYigaelIsrael[[#This Row],[Sell Value]])*0.0007</f>
        <v>567.535429776</v>
      </c>
      <c r="K128" s="19">
        <f>(OrdersYigaelIsrael[[#This Row],[Sell Value]]-OrdersYigaelIsrael[[#This Row],[Buy Value]]-OrdersYigaelIsrael[[#This Row],[Commission]]+OrdersYigaelIsrael[[#This Row],[Dividand]])/OrdersYigaelIsrael[[#This Row],[Buy Value]]</f>
        <v>1.8794547234235584E-2</v>
      </c>
      <c r="M128">
        <f>OrdersYigaelIsrael[[#This Row],[Sell Value]]-OrdersYigaelIsrael[[#This Row],[Buy Value]]+OrdersYigaelIsrael[[#This Row],[Dividand]]-OrdersYigaelIsrael[[#This Row],[Commission]]</f>
        <v>7542.7648902239798</v>
      </c>
      <c r="N128">
        <f>SUM(INDEX(OrdersYigaelIsrael[P&amp;L],1):OrdersYigaelIsrael[[#This Row],[P&amp;L]])</f>
        <v>57532.578803155338</v>
      </c>
    </row>
    <row r="129" spans="1:17" x14ac:dyDescent="0.25">
      <c r="A129" t="s">
        <v>40</v>
      </c>
      <c r="B129" s="1">
        <v>45726</v>
      </c>
      <c r="C129" s="1">
        <v>45729</v>
      </c>
      <c r="D129" t="str">
        <f>TEXT(OrdersYigaelIsrael[[#This Row],[Sell Date]],"yyyy-mm")</f>
        <v>2025-03</v>
      </c>
      <c r="E129" s="2">
        <v>78400</v>
      </c>
      <c r="F129" s="2">
        <v>81500</v>
      </c>
      <c r="G129" s="21">
        <v>443</v>
      </c>
      <c r="H129">
        <f>OrdersYigaelIsrael[[#This Row],[Buy Price]]*OrdersYigaelIsrael[[#This Row],[Amount]]/100</f>
        <v>347312</v>
      </c>
      <c r="I129">
        <f>OrdersYigaelIsrael[[#This Row],[Sell Price]]*OrdersYigaelIsrael[[#This Row],[Amount]]/100</f>
        <v>361045</v>
      </c>
      <c r="J129">
        <f>(OrdersYigaelIsrael[[#This Row],[Buy Value]]+OrdersYigaelIsrael[[#This Row],[Sell Value]])*0.0007</f>
        <v>495.84989999999999</v>
      </c>
      <c r="K129" s="19">
        <f>(OrdersYigaelIsrael[[#This Row],[Sell Value]]-OrdersYigaelIsrael[[#This Row],[Buy Value]]-OrdersYigaelIsrael[[#This Row],[Commission]]+OrdersYigaelIsrael[[#This Row],[Dividand]])/OrdersYigaelIsrael[[#This Row],[Buy Value]]</f>
        <v>3.8113137755102042E-2</v>
      </c>
      <c r="M129">
        <f>OrdersYigaelIsrael[[#This Row],[Sell Value]]-OrdersYigaelIsrael[[#This Row],[Buy Value]]+OrdersYigaelIsrael[[#This Row],[Dividand]]-OrdersYigaelIsrael[[#This Row],[Commission]]</f>
        <v>13237.150100000001</v>
      </c>
      <c r="N129">
        <f>SUM(INDEX(OrdersYigaelIsrael[P&amp;L],1):OrdersYigaelIsrael[[#This Row],[P&amp;L]])</f>
        <v>70769.728903155337</v>
      </c>
    </row>
    <row r="130" spans="1:17" x14ac:dyDescent="0.25">
      <c r="A130" t="s">
        <v>23</v>
      </c>
      <c r="B130" s="1">
        <v>45729</v>
      </c>
      <c r="C130" s="1">
        <v>45729</v>
      </c>
      <c r="D130" t="str">
        <f>TEXT(OrdersYigaelIsrael[[#This Row],[Sell Date]],"yyyy-mm")</f>
        <v>2025-03</v>
      </c>
      <c r="E130" s="2">
        <v>2789.498</v>
      </c>
      <c r="F130" s="2">
        <v>2772.2179999999998</v>
      </c>
      <c r="G130" s="21">
        <v>18172</v>
      </c>
      <c r="H130">
        <f>OrdersYigaelIsrael[[#This Row],[Buy Price]]*OrdersYigaelIsrael[[#This Row],[Amount]]/100</f>
        <v>506907.57656000002</v>
      </c>
      <c r="I130">
        <f>OrdersYigaelIsrael[[#This Row],[Sell Price]]*OrdersYigaelIsrael[[#This Row],[Amount]]/100</f>
        <v>503767.45496</v>
      </c>
      <c r="J130">
        <f>(OrdersYigaelIsrael[[#This Row],[Buy Value]]+OrdersYigaelIsrael[[#This Row],[Sell Value]])*0.0007</f>
        <v>707.47252206399992</v>
      </c>
      <c r="K130" s="19">
        <f>(OrdersYigaelIsrael[[#This Row],[Sell Value]]-OrdersYigaelIsrael[[#This Row],[Buy Value]]-OrdersYigaelIsrael[[#This Row],[Commission]]+OrdersYigaelIsrael[[#This Row],[Dividand]])/OrdersYigaelIsrael[[#This Row],[Buy Value]]</f>
        <v>-7.5903267182841037E-3</v>
      </c>
      <c r="M130">
        <f>OrdersYigaelIsrael[[#This Row],[Sell Value]]-OrdersYigaelIsrael[[#This Row],[Buy Value]]+OrdersYigaelIsrael[[#This Row],[Dividand]]-OrdersYigaelIsrael[[#This Row],[Commission]]</f>
        <v>-3847.5941220640129</v>
      </c>
      <c r="N130">
        <f>SUM(INDEX(OrdersYigaelIsrael[P&amp;L],1):OrdersYigaelIsrael[[#This Row],[P&amp;L]])</f>
        <v>66922.134781091328</v>
      </c>
    </row>
    <row r="131" spans="1:17" x14ac:dyDescent="0.25">
      <c r="A131" t="s">
        <v>89</v>
      </c>
      <c r="B131" s="1">
        <v>45729</v>
      </c>
      <c r="C131" s="1">
        <v>45729</v>
      </c>
      <c r="D131" t="str">
        <f>TEXT(OrdersYigaelIsrael[[#This Row],[Sell Date]],"yyyy-mm")</f>
        <v>2025-03</v>
      </c>
      <c r="E131" s="2">
        <v>503.99599999999998</v>
      </c>
      <c r="F131" s="2">
        <v>510.1</v>
      </c>
      <c r="G131" s="21">
        <v>45698</v>
      </c>
      <c r="H131">
        <f>OrdersYigaelIsrael[[#This Row],[Buy Price]]*OrdersYigaelIsrael[[#This Row],[Amount]]/100</f>
        <v>230316.09208</v>
      </c>
      <c r="I131">
        <f>OrdersYigaelIsrael[[#This Row],[Sell Price]]*OrdersYigaelIsrael[[#This Row],[Amount]]/100</f>
        <v>233105.49800000002</v>
      </c>
      <c r="J131">
        <f>(OrdersYigaelIsrael[[#This Row],[Buy Value]]+OrdersYigaelIsrael[[#This Row],[Sell Value]])*0.0007</f>
        <v>324.39511305600001</v>
      </c>
      <c r="K131" s="19">
        <f>(OrdersYigaelIsrael[[#This Row],[Sell Value]]-OrdersYigaelIsrael[[#This Row],[Buy Value]]-OrdersYigaelIsrael[[#This Row],[Commission]]+OrdersYigaelIsrael[[#This Row],[Dividand]])/OrdersYigaelIsrael[[#This Row],[Buy Value]]</f>
        <v>1.0702729386741248E-2</v>
      </c>
      <c r="M131">
        <f>OrdersYigaelIsrael[[#This Row],[Sell Value]]-OrdersYigaelIsrael[[#This Row],[Buy Value]]+OrdersYigaelIsrael[[#This Row],[Dividand]]-OrdersYigaelIsrael[[#This Row],[Commission]]</f>
        <v>2465.0108069440194</v>
      </c>
      <c r="N131">
        <f>SUM(INDEX(OrdersYigaelIsrael[P&amp;L],1):OrdersYigaelIsrael[[#This Row],[P&amp;L]])</f>
        <v>69387.145588035346</v>
      </c>
    </row>
    <row r="132" spans="1:17" x14ac:dyDescent="0.25">
      <c r="A132" t="s">
        <v>24</v>
      </c>
      <c r="B132" s="1">
        <v>45729</v>
      </c>
      <c r="C132" s="1">
        <v>45733</v>
      </c>
      <c r="D132" t="str">
        <f>TEXT(OrdersYigaelIsrael[[#This Row],[Sell Date]],"yyyy-mm")</f>
        <v>2025-03</v>
      </c>
      <c r="E132" s="2">
        <v>1738.14</v>
      </c>
      <c r="F132" s="2">
        <v>1770</v>
      </c>
      <c r="G132" s="21">
        <v>23001</v>
      </c>
      <c r="H132">
        <f>OrdersYigaelIsrael[[#This Row],[Buy Price]]*OrdersYigaelIsrael[[#This Row],[Amount]]/100</f>
        <v>399789.58140000002</v>
      </c>
      <c r="I132">
        <f>OrdersYigaelIsrael[[#This Row],[Sell Price]]*OrdersYigaelIsrael[[#This Row],[Amount]]/100</f>
        <v>407117.7</v>
      </c>
      <c r="J132">
        <f>(OrdersYigaelIsrael[[#This Row],[Buy Value]]+OrdersYigaelIsrael[[#This Row],[Sell Value]])*0.0007</f>
        <v>564.83509698</v>
      </c>
      <c r="K132" s="19">
        <f>(OrdersYigaelIsrael[[#This Row],[Sell Value]]-OrdersYigaelIsrael[[#This Row],[Buy Value]]-OrdersYigaelIsrael[[#This Row],[Commission]]+OrdersYigaelIsrael[[#This Row],[Dividand]])/OrdersYigaelIsrael[[#This Row],[Buy Value]]</f>
        <v>1.6917107942973488E-2</v>
      </c>
      <c r="M132">
        <f>OrdersYigaelIsrael[[#This Row],[Sell Value]]-OrdersYigaelIsrael[[#This Row],[Buy Value]]+OrdersYigaelIsrael[[#This Row],[Dividand]]-OrdersYigaelIsrael[[#This Row],[Commission]]</f>
        <v>6763.2835030199867</v>
      </c>
      <c r="N132">
        <f>SUM(INDEX(OrdersYigaelIsrael[P&amp;L],1):OrdersYigaelIsrael[[#This Row],[P&amp;L]])</f>
        <v>76150.429091055339</v>
      </c>
    </row>
    <row r="133" spans="1:17" x14ac:dyDescent="0.25">
      <c r="A133" t="s">
        <v>90</v>
      </c>
      <c r="B133" s="1">
        <v>45729</v>
      </c>
      <c r="C133" s="1">
        <v>45733</v>
      </c>
      <c r="D133" t="str">
        <f>TEXT(OrdersYigaelIsrael[[#This Row],[Sell Date]],"yyyy-mm")</f>
        <v>2025-03</v>
      </c>
      <c r="E133" s="2">
        <v>1318.454</v>
      </c>
      <c r="F133" s="2">
        <v>1344</v>
      </c>
      <c r="G133" s="21">
        <v>26819</v>
      </c>
      <c r="H133">
        <f>OrdersYigaelIsrael[[#This Row],[Buy Price]]*OrdersYigaelIsrael[[#This Row],[Amount]]/100</f>
        <v>353596.17825999996</v>
      </c>
      <c r="I133">
        <f>OrdersYigaelIsrael[[#This Row],[Sell Price]]*OrdersYigaelIsrael[[#This Row],[Amount]]/100</f>
        <v>360447.36</v>
      </c>
      <c r="J133">
        <f>(OrdersYigaelIsrael[[#This Row],[Buy Value]]+OrdersYigaelIsrael[[#This Row],[Sell Value]])*0.0007</f>
        <v>499.83047678199995</v>
      </c>
      <c r="K133" s="19">
        <f>(OrdersYigaelIsrael[[#This Row],[Sell Value]]-OrdersYigaelIsrael[[#This Row],[Buy Value]]-OrdersYigaelIsrael[[#This Row],[Commission]]+OrdersYigaelIsrael[[#This Row],[Dividand]])/OrdersYigaelIsrael[[#This Row],[Buy Value]]</f>
        <v>1.7962160378746709E-2</v>
      </c>
      <c r="M133">
        <f>OrdersYigaelIsrael[[#This Row],[Sell Value]]-OrdersYigaelIsrael[[#This Row],[Buy Value]]+OrdersYigaelIsrael[[#This Row],[Dividand]]-OrdersYigaelIsrael[[#This Row],[Commission]]</f>
        <v>6351.3512632180291</v>
      </c>
      <c r="N133">
        <f>SUM(INDEX(OrdersYigaelIsrael[P&amp;L],1):OrdersYigaelIsrael[[#This Row],[P&amp;L]])</f>
        <v>82501.780354273375</v>
      </c>
    </row>
    <row r="134" spans="1:17" x14ac:dyDescent="0.25">
      <c r="A134" t="s">
        <v>91</v>
      </c>
      <c r="B134" s="1">
        <v>45733</v>
      </c>
      <c r="C134" s="1">
        <v>45735</v>
      </c>
      <c r="D134" t="str">
        <f>TEXT(OrdersYigaelIsrael[[#This Row],[Sell Date]],"yyyy-mm")</f>
        <v>2025-03</v>
      </c>
      <c r="E134" s="2">
        <v>23540</v>
      </c>
      <c r="F134" s="2">
        <v>24010</v>
      </c>
      <c r="G134" s="21">
        <v>35</v>
      </c>
      <c r="H134">
        <f>OrdersYigaelIsrael[[#This Row],[Buy Price]]*OrdersYigaelIsrael[[#This Row],[Amount]]/100</f>
        <v>8239</v>
      </c>
      <c r="I134">
        <f>OrdersYigaelIsrael[[#This Row],[Sell Price]]*OrdersYigaelIsrael[[#This Row],[Amount]]/100</f>
        <v>8403.5</v>
      </c>
      <c r="J134">
        <f>(OrdersYigaelIsrael[[#This Row],[Buy Value]]+OrdersYigaelIsrael[[#This Row],[Sell Value]])*0.0007</f>
        <v>11.649749999999999</v>
      </c>
      <c r="K134" s="19">
        <f>(OrdersYigaelIsrael[[#This Row],[Sell Value]]-OrdersYigaelIsrael[[#This Row],[Buy Value]]-OrdersYigaelIsrael[[#This Row],[Commission]]+OrdersYigaelIsrael[[#This Row],[Dividand]])/OrdersYigaelIsrael[[#This Row],[Buy Value]]</f>
        <v>1.8552039082412913E-2</v>
      </c>
      <c r="M134">
        <f>OrdersYigaelIsrael[[#This Row],[Sell Value]]-OrdersYigaelIsrael[[#This Row],[Buy Value]]+OrdersYigaelIsrael[[#This Row],[Dividand]]-OrdersYigaelIsrael[[#This Row],[Commission]]</f>
        <v>152.85024999999999</v>
      </c>
      <c r="N134">
        <f>SUM(INDEX(OrdersYigaelIsrael[P&amp;L],1):OrdersYigaelIsrael[[#This Row],[P&amp;L]])</f>
        <v>82654.630604273378</v>
      </c>
    </row>
    <row r="135" spans="1:17" x14ac:dyDescent="0.25">
      <c r="A135" t="s">
        <v>16</v>
      </c>
      <c r="B135" s="1">
        <v>45733</v>
      </c>
      <c r="C135" s="1">
        <v>45742</v>
      </c>
      <c r="D135" t="str">
        <f>TEXT(OrdersYigaelIsrael[[#This Row],[Sell Date]],"yyyy-mm")</f>
        <v>2025-03</v>
      </c>
      <c r="E135" s="2">
        <v>55742.5</v>
      </c>
      <c r="F135" s="2">
        <v>57740</v>
      </c>
      <c r="G135" s="21">
        <v>80</v>
      </c>
      <c r="H135">
        <f>OrdersYigaelIsrael[[#This Row],[Buy Price]]*OrdersYigaelIsrael[[#This Row],[Amount]]/100</f>
        <v>44594</v>
      </c>
      <c r="I135">
        <f>OrdersYigaelIsrael[[#This Row],[Sell Price]]*OrdersYigaelIsrael[[#This Row],[Amount]]/100</f>
        <v>46192</v>
      </c>
      <c r="J135">
        <f>(OrdersYigaelIsrael[[#This Row],[Buy Value]]+OrdersYigaelIsrael[[#This Row],[Sell Value]])*0.0007</f>
        <v>63.550199999999997</v>
      </c>
      <c r="K135" s="19">
        <f>(OrdersYigaelIsrael[[#This Row],[Sell Value]]-OrdersYigaelIsrael[[#This Row],[Buy Value]]-OrdersYigaelIsrael[[#This Row],[Commission]]+OrdersYigaelIsrael[[#This Row],[Dividand]])/OrdersYigaelIsrael[[#This Row],[Buy Value]]</f>
        <v>3.4409333094138225E-2</v>
      </c>
      <c r="M135">
        <f>OrdersYigaelIsrael[[#This Row],[Sell Value]]-OrdersYigaelIsrael[[#This Row],[Buy Value]]+OrdersYigaelIsrael[[#This Row],[Dividand]]-OrdersYigaelIsrael[[#This Row],[Commission]]</f>
        <v>1534.4498000000001</v>
      </c>
      <c r="N135">
        <f>SUM(INDEX(OrdersYigaelIsrael[P&amp;L],1):OrdersYigaelIsrael[[#This Row],[P&amp;L]])</f>
        <v>84189.08040427338</v>
      </c>
    </row>
    <row r="136" spans="1:17" x14ac:dyDescent="0.25">
      <c r="A136" t="s">
        <v>23</v>
      </c>
      <c r="B136" s="1">
        <v>45729</v>
      </c>
      <c r="C136" s="1">
        <v>45776</v>
      </c>
      <c r="D136" t="str">
        <f>TEXT(OrdersYigaelIsrael[[#This Row],[Sell Date]],"yyyy-mm")</f>
        <v>2025-04</v>
      </c>
      <c r="E136" s="2">
        <v>2764.2649999999999</v>
      </c>
      <c r="F136" s="2">
        <v>2690.7150000000001</v>
      </c>
      <c r="G136" s="21">
        <v>25809</v>
      </c>
      <c r="H136">
        <f>OrdersYigaelIsrael[[#This Row],[Buy Price]]*OrdersYigaelIsrael[[#This Row],[Amount]]/100</f>
        <v>713429.15384999989</v>
      </c>
      <c r="I136">
        <f>OrdersYigaelIsrael[[#This Row],[Sell Price]]*OrdersYigaelIsrael[[#This Row],[Amount]]/100</f>
        <v>694446.63435000007</v>
      </c>
      <c r="J136">
        <f>(OrdersYigaelIsrael[[#This Row],[Buy Value]]+OrdersYigaelIsrael[[#This Row],[Sell Value]])*0.0007</f>
        <v>985.51305173999992</v>
      </c>
      <c r="K136" s="19">
        <f>(OrdersYigaelIsrael[[#This Row],[Sell Value]]-OrdersYigaelIsrael[[#This Row],[Buy Value]]-OrdersYigaelIsrael[[#This Row],[Commission]]+OrdersYigaelIsrael[[#This Row],[Dividand]])/OrdersYigaelIsrael[[#This Row],[Buy Value]]</f>
        <v>-2.0980404951164756E-2</v>
      </c>
      <c r="L136">
        <v>5000</v>
      </c>
      <c r="M136">
        <f>OrdersYigaelIsrael[[#This Row],[Sell Value]]-OrdersYigaelIsrael[[#This Row],[Buy Value]]+OrdersYigaelIsrael[[#This Row],[Dividand]]-OrdersYigaelIsrael[[#This Row],[Commission]]</f>
        <v>-14968.03255173982</v>
      </c>
      <c r="N136">
        <f>SUM(INDEX(OrdersYigaelIsrael[P&amp;L],1):OrdersYigaelIsrael[[#This Row],[P&amp;L]])</f>
        <v>69221.047852533564</v>
      </c>
    </row>
    <row r="137" spans="1:17" x14ac:dyDescent="0.25">
      <c r="A137" t="s">
        <v>26</v>
      </c>
      <c r="B137" s="1">
        <v>45733</v>
      </c>
      <c r="C137" s="1">
        <v>45776</v>
      </c>
      <c r="D137" t="str">
        <f>TEXT(OrdersYigaelIsrael[[#This Row],[Sell Date]],"yyyy-mm")</f>
        <v>2025-04</v>
      </c>
      <c r="E137" s="2">
        <v>6819.902</v>
      </c>
      <c r="F137" s="2">
        <v>6017</v>
      </c>
      <c r="G137" s="21">
        <v>4843</v>
      </c>
      <c r="H137">
        <f>OrdersYigaelIsrael[[#This Row],[Buy Price]]*OrdersYigaelIsrael[[#This Row],[Amount]]/100</f>
        <v>330287.85385999997</v>
      </c>
      <c r="I137">
        <f>OrdersYigaelIsrael[[#This Row],[Sell Price]]*OrdersYigaelIsrael[[#This Row],[Amount]]/100</f>
        <v>291403.31</v>
      </c>
      <c r="J137">
        <f>(OrdersYigaelIsrael[[#This Row],[Buy Value]]+OrdersYigaelIsrael[[#This Row],[Sell Value]])*0.0007</f>
        <v>435.18381470199995</v>
      </c>
      <c r="K137" s="19">
        <f>(OrdersYigaelIsrael[[#This Row],[Sell Value]]-OrdersYigaelIsrael[[#This Row],[Buy Value]]-OrdersYigaelIsrael[[#This Row],[Commission]]+OrdersYigaelIsrael[[#This Row],[Dividand]])/OrdersYigaelIsrael[[#This Row],[Buy Value]]</f>
        <v>-0.11904684721276049</v>
      </c>
      <c r="M137">
        <f>OrdersYigaelIsrael[[#This Row],[Sell Value]]-OrdersYigaelIsrael[[#This Row],[Buy Value]]+OrdersYigaelIsrael[[#This Row],[Dividand]]-OrdersYigaelIsrael[[#This Row],[Commission]]</f>
        <v>-39319.727674701979</v>
      </c>
      <c r="N137">
        <f>SUM(INDEX(OrdersYigaelIsrael[P&amp;L],1):OrdersYigaelIsrael[[#This Row],[P&amp;L]])</f>
        <v>29901.320177831585</v>
      </c>
    </row>
    <row r="138" spans="1:17" x14ac:dyDescent="0.25">
      <c r="A138" t="s">
        <v>93</v>
      </c>
      <c r="B138" s="1">
        <v>45746</v>
      </c>
      <c r="C138" s="1">
        <v>45781</v>
      </c>
      <c r="D138" t="str">
        <f>TEXT(OrdersYigaelIsrael[[#This Row],[Sell Date]],"yyyy-mm")</f>
        <v>2025-05</v>
      </c>
      <c r="E138" s="2">
        <v>517.88099999999997</v>
      </c>
      <c r="F138" s="2">
        <v>528</v>
      </c>
      <c r="G138" s="21">
        <v>2085</v>
      </c>
      <c r="H138">
        <f>OrdersYigaelIsrael[[#This Row],[Buy Price]]*OrdersYigaelIsrael[[#This Row],[Amount]]/100</f>
        <v>10797.81885</v>
      </c>
      <c r="I138">
        <f>OrdersYigaelIsrael[[#This Row],[Sell Price]]*OrdersYigaelIsrael[[#This Row],[Amount]]/100</f>
        <v>11008.8</v>
      </c>
      <c r="J138">
        <f>(OrdersYigaelIsrael[[#This Row],[Buy Value]]+OrdersYigaelIsrael[[#This Row],[Sell Value]])*0.0007</f>
        <v>15.264633194999998</v>
      </c>
      <c r="K138" s="19">
        <f>(OrdersYigaelIsrael[[#This Row],[Sell Value]]-OrdersYigaelIsrael[[#This Row],[Buy Value]]-OrdersYigaelIsrael[[#This Row],[Commission]]+OrdersYigaelIsrael[[#This Row],[Dividand]])/OrdersYigaelIsrael[[#This Row],[Buy Value]]</f>
        <v>1.8125560312118E-2</v>
      </c>
      <c r="M138">
        <f>OrdersYigaelIsrael[[#This Row],[Sell Value]]-OrdersYigaelIsrael[[#This Row],[Buy Value]]+OrdersYigaelIsrael[[#This Row],[Dividand]]-OrdersYigaelIsrael[[#This Row],[Commission]]</f>
        <v>195.71651680499963</v>
      </c>
      <c r="N138">
        <f>SUM(INDEX(OrdersYigaelIsrael[P&amp;L],1):OrdersYigaelIsrael[[#This Row],[P&amp;L]])</f>
        <v>30097.036694636583</v>
      </c>
      <c r="P138" t="s">
        <v>96</v>
      </c>
      <c r="Q138" s="20">
        <f>SUMIFS(OrdersYigaelIsrael[P&amp;L], OrdersYigaelIsrael[Year-Month], "2025-04")</f>
        <v>-54287.760226441795</v>
      </c>
    </row>
    <row r="139" spans="1:17" x14ac:dyDescent="0.25">
      <c r="A139" t="s">
        <v>92</v>
      </c>
      <c r="B139" s="1">
        <v>45746</v>
      </c>
      <c r="C139" s="1">
        <v>45783</v>
      </c>
      <c r="D139" t="str">
        <f>TEXT(OrdersYigaelIsrael[[#This Row],[Sell Date]],"yyyy-mm")</f>
        <v>2025-05</v>
      </c>
      <c r="E139" s="2">
        <v>21958.852999999999</v>
      </c>
      <c r="F139" s="2">
        <v>23020</v>
      </c>
      <c r="G139" s="21">
        <v>2284</v>
      </c>
      <c r="H139">
        <f>OrdersYigaelIsrael[[#This Row],[Buy Price]]*OrdersYigaelIsrael[[#This Row],[Amount]]/100</f>
        <v>501540.20251999999</v>
      </c>
      <c r="I139">
        <f>OrdersYigaelIsrael[[#This Row],[Sell Price]]*OrdersYigaelIsrael[[#This Row],[Amount]]/100</f>
        <v>525776.80000000005</v>
      </c>
      <c r="J139">
        <f>(OrdersYigaelIsrael[[#This Row],[Buy Value]]+OrdersYigaelIsrael[[#This Row],[Sell Value]])*0.0007</f>
        <v>719.12190176400009</v>
      </c>
      <c r="K139" s="19">
        <f>(OrdersYigaelIsrael[[#This Row],[Sell Value]]-OrdersYigaelIsrael[[#This Row],[Buy Value]]-OrdersYigaelIsrael[[#This Row],[Commission]]+OrdersYigaelIsrael[[#This Row],[Dividand]])/OrdersYigaelIsrael[[#This Row],[Buy Value]]</f>
        <v>4.6890509395003575E-2</v>
      </c>
      <c r="M139">
        <f>OrdersYigaelIsrael[[#This Row],[Sell Value]]-OrdersYigaelIsrael[[#This Row],[Buy Value]]+OrdersYigaelIsrael[[#This Row],[Dividand]]-OrdersYigaelIsrael[[#This Row],[Commission]]</f>
        <v>23517.475578236055</v>
      </c>
      <c r="N139">
        <f>SUM(INDEX(OrdersYigaelIsrael[P&amp;L],1):OrdersYigaelIsrael[[#This Row],[P&amp;L]])</f>
        <v>53614.512272872642</v>
      </c>
    </row>
    <row r="140" spans="1:17" x14ac:dyDescent="0.25">
      <c r="A140" t="s">
        <v>94</v>
      </c>
      <c r="B140" s="1">
        <v>45781</v>
      </c>
      <c r="C140" s="1">
        <v>45784</v>
      </c>
      <c r="D140" t="str">
        <f>TEXT(OrdersYigaelIsrael[[#This Row],[Sell Date]],"yyyy-mm")</f>
        <v>2025-05</v>
      </c>
      <c r="E140" s="2">
        <v>7950.4939999999997</v>
      </c>
      <c r="F140" s="2">
        <v>8110</v>
      </c>
      <c r="G140" s="21">
        <v>3073</v>
      </c>
      <c r="H140">
        <f>OrdersYigaelIsrael[[#This Row],[Buy Price]]*OrdersYigaelIsrael[[#This Row],[Amount]]/100</f>
        <v>244318.68062</v>
      </c>
      <c r="I140">
        <f>OrdersYigaelIsrael[[#This Row],[Sell Price]]*OrdersYigaelIsrael[[#This Row],[Amount]]/100</f>
        <v>249220.3</v>
      </c>
      <c r="J140">
        <f>(OrdersYigaelIsrael[[#This Row],[Buy Value]]+OrdersYigaelIsrael[[#This Row],[Sell Value]])*0.0007</f>
        <v>345.47728643400001</v>
      </c>
      <c r="K140" s="19">
        <f>(OrdersYigaelIsrael[[#This Row],[Sell Value]]-OrdersYigaelIsrael[[#This Row],[Buy Value]]-OrdersYigaelIsrael[[#This Row],[Commission]]+OrdersYigaelIsrael[[#This Row],[Dividand]])/OrdersYigaelIsrael[[#This Row],[Buy Value]]</f>
        <v>1.8648357473133072E-2</v>
      </c>
      <c r="M140">
        <f>OrdersYigaelIsrael[[#This Row],[Sell Value]]-OrdersYigaelIsrael[[#This Row],[Buy Value]]+OrdersYigaelIsrael[[#This Row],[Dividand]]-OrdersYigaelIsrael[[#This Row],[Commission]]</f>
        <v>4556.1420935659889</v>
      </c>
      <c r="N140">
        <f>SUM(INDEX(OrdersYigaelIsrael[P&amp;L],1):OrdersYigaelIsrael[[#This Row],[P&amp;L]])</f>
        <v>58170.654366438634</v>
      </c>
    </row>
    <row r="141" spans="1:17" x14ac:dyDescent="0.25">
      <c r="A141" t="s">
        <v>89</v>
      </c>
      <c r="B141" s="1">
        <v>45783</v>
      </c>
      <c r="C141" s="1">
        <v>45784</v>
      </c>
      <c r="D141" t="str">
        <f>TEXT(OrdersYigaelIsrael[[#This Row],[Sell Date]],"yyyy-mm")</f>
        <v>2025-05</v>
      </c>
      <c r="E141" s="2">
        <v>565</v>
      </c>
      <c r="F141" s="2">
        <v>567</v>
      </c>
      <c r="G141" s="21">
        <v>40491</v>
      </c>
      <c r="H141">
        <f>OrdersYigaelIsrael[[#This Row],[Buy Price]]*OrdersYigaelIsrael[[#This Row],[Amount]]/100</f>
        <v>228774.15</v>
      </c>
      <c r="I141">
        <f>OrdersYigaelIsrael[[#This Row],[Sell Price]]*OrdersYigaelIsrael[[#This Row],[Amount]]/100</f>
        <v>229583.97</v>
      </c>
      <c r="J141">
        <f>(OrdersYigaelIsrael[[#This Row],[Buy Value]]+OrdersYigaelIsrael[[#This Row],[Sell Value]])*0.0007</f>
        <v>320.850684</v>
      </c>
      <c r="K141" s="19">
        <f>(OrdersYigaelIsrael[[#This Row],[Sell Value]]-OrdersYigaelIsrael[[#This Row],[Buy Value]]-OrdersYigaelIsrael[[#This Row],[Commission]]+OrdersYigaelIsrael[[#This Row],[Dividand]])/OrdersYigaelIsrael[[#This Row],[Buy Value]]</f>
        <v>2.1373451327433932E-3</v>
      </c>
      <c r="M141">
        <f>OrdersYigaelIsrael[[#This Row],[Sell Value]]-OrdersYigaelIsrael[[#This Row],[Buy Value]]+OrdersYigaelIsrael[[#This Row],[Dividand]]-OrdersYigaelIsrael[[#This Row],[Commission]]</f>
        <v>488.96931600000698</v>
      </c>
      <c r="N141">
        <f>SUM(INDEX(OrdersYigaelIsrael[P&amp;L],1):OrdersYigaelIsrael[[#This Row],[P&amp;L]])</f>
        <v>58659.623682438643</v>
      </c>
    </row>
    <row r="142" spans="1:17" x14ac:dyDescent="0.25">
      <c r="A142" t="s">
        <v>36</v>
      </c>
      <c r="B142" s="1">
        <v>45785</v>
      </c>
      <c r="C142" s="1">
        <v>45788</v>
      </c>
      <c r="D142" t="str">
        <f>TEXT(OrdersYigaelIsrael[[#This Row],[Sell Date]],"yyyy-mm")</f>
        <v>2025-05</v>
      </c>
      <c r="E142" s="2">
        <v>1211</v>
      </c>
      <c r="F142" s="2">
        <v>1237.057</v>
      </c>
      <c r="G142" s="21">
        <v>24752</v>
      </c>
      <c r="H142">
        <f>OrdersYigaelIsrael[[#This Row],[Buy Price]]*OrdersYigaelIsrael[[#This Row],[Amount]]/100</f>
        <v>299746.71999999997</v>
      </c>
      <c r="I142">
        <f>OrdersYigaelIsrael[[#This Row],[Sell Price]]*OrdersYigaelIsrael[[#This Row],[Amount]]/100</f>
        <v>306196.34863999998</v>
      </c>
      <c r="J142">
        <f>(OrdersYigaelIsrael[[#This Row],[Buy Value]]+OrdersYigaelIsrael[[#This Row],[Sell Value]])*0.0007</f>
        <v>424.16014804799994</v>
      </c>
      <c r="K142" s="19">
        <f>(OrdersYigaelIsrael[[#This Row],[Sell Value]]-OrdersYigaelIsrael[[#This Row],[Buy Value]]-OrdersYigaelIsrael[[#This Row],[Commission]]+OrdersYigaelIsrael[[#This Row],[Dividand]])/OrdersYigaelIsrael[[#This Row],[Buy Value]]</f>
        <v>2.0101866308835706E-2</v>
      </c>
      <c r="M142">
        <f>OrdersYigaelIsrael[[#This Row],[Sell Value]]-OrdersYigaelIsrael[[#This Row],[Buy Value]]+OrdersYigaelIsrael[[#This Row],[Dividand]]-OrdersYigaelIsrael[[#This Row],[Commission]]</f>
        <v>6025.4684919520096</v>
      </c>
      <c r="N142">
        <f>SUM(INDEX(OrdersYigaelIsrael[P&amp;L],1):OrdersYigaelIsrael[[#This Row],[P&amp;L]])</f>
        <v>64685.092174390651</v>
      </c>
    </row>
    <row r="143" spans="1:17" x14ac:dyDescent="0.25">
      <c r="A143" t="s">
        <v>35</v>
      </c>
      <c r="B143" s="1">
        <v>45788</v>
      </c>
      <c r="C143" s="1">
        <v>45788</v>
      </c>
      <c r="D143" t="str">
        <f>TEXT(OrdersYigaelIsrael[[#This Row],[Sell Date]],"yyyy-mm")</f>
        <v>2025-05</v>
      </c>
      <c r="E143" s="2">
        <v>6068.8950000000004</v>
      </c>
      <c r="F143" s="2">
        <v>6190</v>
      </c>
      <c r="G143" s="21">
        <v>3296</v>
      </c>
      <c r="H143">
        <f>OrdersYigaelIsrael[[#This Row],[Buy Price]]*OrdersYigaelIsrael[[#This Row],[Amount]]/100</f>
        <v>200030.77920000002</v>
      </c>
      <c r="I143">
        <f>OrdersYigaelIsrael[[#This Row],[Sell Price]]*OrdersYigaelIsrael[[#This Row],[Amount]]/100</f>
        <v>204022.39999999999</v>
      </c>
      <c r="J143">
        <f>(OrdersYigaelIsrael[[#This Row],[Buy Value]]+OrdersYigaelIsrael[[#This Row],[Sell Value]])*0.0007</f>
        <v>282.83722544</v>
      </c>
      <c r="K143" s="19">
        <f>(OrdersYigaelIsrael[[#This Row],[Sell Value]]-OrdersYigaelIsrael[[#This Row],[Buy Value]]-OrdersYigaelIsrael[[#This Row],[Commission]]+OrdersYigaelIsrael[[#This Row],[Dividand]])/OrdersYigaelIsrael[[#This Row],[Buy Value]]</f>
        <v>1.85410644771411E-2</v>
      </c>
      <c r="M143">
        <f>OrdersYigaelIsrael[[#This Row],[Sell Value]]-OrdersYigaelIsrael[[#This Row],[Buy Value]]+OrdersYigaelIsrael[[#This Row],[Dividand]]-OrdersYigaelIsrael[[#This Row],[Commission]]</f>
        <v>3708.783574559975</v>
      </c>
      <c r="N143">
        <f>SUM(INDEX(OrdersYigaelIsrael[P&amp;L],1):OrdersYigaelIsrael[[#This Row],[P&amp;L]])</f>
        <v>68393.875748950624</v>
      </c>
    </row>
    <row r="144" spans="1:17" x14ac:dyDescent="0.25">
      <c r="A144" t="s">
        <v>24</v>
      </c>
      <c r="B144" s="1">
        <v>45788</v>
      </c>
      <c r="C144" s="1">
        <v>45789</v>
      </c>
      <c r="D144" t="str">
        <f>TEXT(OrdersYigaelIsrael[[#This Row],[Sell Date]],"yyyy-mm")</f>
        <v>2025-05</v>
      </c>
      <c r="E144" s="2">
        <v>1737</v>
      </c>
      <c r="F144" s="2">
        <v>1772</v>
      </c>
      <c r="G144" s="21">
        <v>17251</v>
      </c>
      <c r="H144">
        <f>OrdersYigaelIsrael[[#This Row],[Buy Price]]*OrdersYigaelIsrael[[#This Row],[Amount]]/100</f>
        <v>299649.87</v>
      </c>
      <c r="I144">
        <f>OrdersYigaelIsrael[[#This Row],[Sell Price]]*OrdersYigaelIsrael[[#This Row],[Amount]]/100</f>
        <v>305687.71999999997</v>
      </c>
      <c r="J144">
        <f>(OrdersYigaelIsrael[[#This Row],[Buy Value]]+OrdersYigaelIsrael[[#This Row],[Sell Value]])*0.0007</f>
        <v>423.736313</v>
      </c>
      <c r="K144" s="19">
        <f>(OrdersYigaelIsrael[[#This Row],[Sell Value]]-OrdersYigaelIsrael[[#This Row],[Buy Value]]-OrdersYigaelIsrael[[#This Row],[Commission]]+OrdersYigaelIsrael[[#This Row],[Dividand]])/OrdersYigaelIsrael[[#This Row],[Buy Value]]</f>
        <v>1.8735578583765032E-2</v>
      </c>
      <c r="M144">
        <f>OrdersYigaelIsrael[[#This Row],[Sell Value]]-OrdersYigaelIsrael[[#This Row],[Buy Value]]+OrdersYigaelIsrael[[#This Row],[Dividand]]-OrdersYigaelIsrael[[#This Row],[Commission]]</f>
        <v>5614.1136869999764</v>
      </c>
      <c r="N144">
        <f>SUM(INDEX(OrdersYigaelIsrael[P&amp;L],1):OrdersYigaelIsrael[[#This Row],[P&amp;L]])</f>
        <v>74007.9894359506</v>
      </c>
    </row>
    <row r="145" spans="1:17" x14ac:dyDescent="0.25">
      <c r="A145" t="s">
        <v>95</v>
      </c>
      <c r="B145" s="1">
        <v>45788</v>
      </c>
      <c r="C145" s="1">
        <v>45789</v>
      </c>
      <c r="D145" t="str">
        <f>TEXT(OrdersYigaelIsrael[[#This Row],[Sell Date]],"yyyy-mm")</f>
        <v>2025-05</v>
      </c>
      <c r="E145" s="2">
        <v>23795.102999999999</v>
      </c>
      <c r="F145" s="2">
        <v>24700</v>
      </c>
      <c r="G145" s="21">
        <v>1260</v>
      </c>
      <c r="H145">
        <f>OrdersYigaelIsrael[[#This Row],[Buy Price]]*OrdersYigaelIsrael[[#This Row],[Amount]]/100</f>
        <v>299818.2978</v>
      </c>
      <c r="I145">
        <f>OrdersYigaelIsrael[[#This Row],[Sell Price]]*OrdersYigaelIsrael[[#This Row],[Amount]]/100</f>
        <v>311220</v>
      </c>
      <c r="J145">
        <f>(OrdersYigaelIsrael[[#This Row],[Buy Value]]+OrdersYigaelIsrael[[#This Row],[Sell Value]])*0.0007</f>
        <v>427.72680846000003</v>
      </c>
      <c r="K145" s="19">
        <f>(OrdersYigaelIsrael[[#This Row],[Sell Value]]-OrdersYigaelIsrael[[#This Row],[Buy Value]]-OrdersYigaelIsrael[[#This Row],[Commission]]+OrdersYigaelIsrael[[#This Row],[Dividand]])/OrdersYigaelIsrael[[#This Row],[Buy Value]]</f>
        <v>3.6602086904183602E-2</v>
      </c>
      <c r="M145">
        <f>OrdersYigaelIsrael[[#This Row],[Sell Value]]-OrdersYigaelIsrael[[#This Row],[Buy Value]]+OrdersYigaelIsrael[[#This Row],[Dividand]]-OrdersYigaelIsrael[[#This Row],[Commission]]</f>
        <v>10973.97539154</v>
      </c>
      <c r="N145">
        <f>SUM(INDEX(OrdersYigaelIsrael[P&amp;L],1):OrdersYigaelIsrael[[#This Row],[P&amp;L]])</f>
        <v>84981.964827490592</v>
      </c>
    </row>
    <row r="146" spans="1:17" x14ac:dyDescent="0.25">
      <c r="A146" t="s">
        <v>92</v>
      </c>
      <c r="B146" s="1">
        <v>45788</v>
      </c>
      <c r="C146" s="1">
        <v>45789</v>
      </c>
      <c r="D146" t="str">
        <f>TEXT(OrdersYigaelIsrael[[#This Row],[Sell Date]],"yyyy-mm")</f>
        <v>2025-05</v>
      </c>
      <c r="E146" s="2">
        <v>23298.655999999999</v>
      </c>
      <c r="F146" s="2">
        <v>23760</v>
      </c>
      <c r="G146" s="21">
        <v>2150</v>
      </c>
      <c r="H146">
        <f>OrdersYigaelIsrael[[#This Row],[Buy Price]]*OrdersYigaelIsrael[[#This Row],[Amount]]/100</f>
        <v>500921.10399999999</v>
      </c>
      <c r="I146">
        <f>OrdersYigaelIsrael[[#This Row],[Sell Price]]*OrdersYigaelIsrael[[#This Row],[Amount]]/100</f>
        <v>510840</v>
      </c>
      <c r="J146">
        <f>(OrdersYigaelIsrael[[#This Row],[Buy Value]]+OrdersYigaelIsrael[[#This Row],[Sell Value]])*0.0007</f>
        <v>708.23277280000002</v>
      </c>
      <c r="K146" s="19">
        <f>(OrdersYigaelIsrael[[#This Row],[Sell Value]]-OrdersYigaelIsrael[[#This Row],[Buy Value]]-OrdersYigaelIsrael[[#This Row],[Commission]]+OrdersYigaelIsrael[[#This Row],[Dividand]])/OrdersYigaelIsrael[[#This Row],[Buy Value]]</f>
        <v>1.8387452941491578E-2</v>
      </c>
      <c r="M146">
        <f>OrdersYigaelIsrael[[#This Row],[Sell Value]]-OrdersYigaelIsrael[[#This Row],[Buy Value]]+OrdersYigaelIsrael[[#This Row],[Dividand]]-OrdersYigaelIsrael[[#This Row],[Commission]]</f>
        <v>9210.6632272000079</v>
      </c>
      <c r="N146">
        <f>SUM(INDEX(OrdersYigaelIsrael[P&amp;L],1):OrdersYigaelIsrael[[#This Row],[P&amp;L]])</f>
        <v>94192.628054690605</v>
      </c>
    </row>
    <row r="147" spans="1:17" x14ac:dyDescent="0.25">
      <c r="A147" t="s">
        <v>35</v>
      </c>
      <c r="B147" s="1">
        <v>45789</v>
      </c>
      <c r="C147" s="1">
        <v>45789</v>
      </c>
      <c r="D147" t="str">
        <f>TEXT(OrdersYigaelIsrael[[#This Row],[Sell Date]],"yyyy-mm")</f>
        <v>2025-05</v>
      </c>
      <c r="E147" s="2">
        <v>5745.09</v>
      </c>
      <c r="F147" s="2">
        <v>5859</v>
      </c>
      <c r="G147" s="21">
        <v>5209</v>
      </c>
      <c r="H147">
        <f>OrdersYigaelIsrael[[#This Row],[Buy Price]]*OrdersYigaelIsrael[[#This Row],[Amount]]/100</f>
        <v>299261.73810000002</v>
      </c>
      <c r="I147">
        <f>OrdersYigaelIsrael[[#This Row],[Sell Price]]*OrdersYigaelIsrael[[#This Row],[Amount]]/100</f>
        <v>305195.31</v>
      </c>
      <c r="J147">
        <f>(OrdersYigaelIsrael[[#This Row],[Buy Value]]+OrdersYigaelIsrael[[#This Row],[Sell Value]])*0.0007</f>
        <v>423.11993367000002</v>
      </c>
      <c r="K147" s="19">
        <f>(OrdersYigaelIsrael[[#This Row],[Sell Value]]-OrdersYigaelIsrael[[#This Row],[Buy Value]]-OrdersYigaelIsrael[[#This Row],[Commission]]+OrdersYigaelIsrael[[#This Row],[Dividand]])/OrdersYigaelIsrael[[#This Row],[Buy Value]]</f>
        <v>1.8413486472796704E-2</v>
      </c>
      <c r="M147">
        <f>OrdersYigaelIsrael[[#This Row],[Sell Value]]-OrdersYigaelIsrael[[#This Row],[Buy Value]]+OrdersYigaelIsrael[[#This Row],[Dividand]]-OrdersYigaelIsrael[[#This Row],[Commission]]</f>
        <v>5510.4519663299807</v>
      </c>
      <c r="N147">
        <f>SUM(INDEX(OrdersYigaelIsrael[P&amp;L],1):OrdersYigaelIsrael[[#This Row],[P&amp;L]])</f>
        <v>99703.080021020593</v>
      </c>
    </row>
    <row r="148" spans="1:17" x14ac:dyDescent="0.25">
      <c r="A148" t="s">
        <v>34</v>
      </c>
      <c r="B148" s="1">
        <v>45790</v>
      </c>
      <c r="C148" s="1">
        <v>45791</v>
      </c>
      <c r="D148" t="str">
        <f>TEXT(OrdersYigaelIsrael[[#This Row],[Sell Date]],"yyyy-mm")</f>
        <v>2025-05</v>
      </c>
      <c r="E148" s="2">
        <v>18790</v>
      </c>
      <c r="F148" s="2">
        <v>19160</v>
      </c>
      <c r="G148" s="21">
        <v>1703</v>
      </c>
      <c r="H148">
        <f>OrdersYigaelIsrael[[#This Row],[Buy Price]]*OrdersYigaelIsrael[[#This Row],[Amount]]/100</f>
        <v>319993.7</v>
      </c>
      <c r="I148">
        <f>OrdersYigaelIsrael[[#This Row],[Sell Price]]*OrdersYigaelIsrael[[#This Row],[Amount]]/100</f>
        <v>326294.8</v>
      </c>
      <c r="J148">
        <f>(OrdersYigaelIsrael[[#This Row],[Buy Value]]+OrdersYigaelIsrael[[#This Row],[Sell Value]])*0.0007</f>
        <v>452.40195</v>
      </c>
      <c r="K148" s="19">
        <f>(OrdersYigaelIsrael[[#This Row],[Sell Value]]-OrdersYigaelIsrael[[#This Row],[Buy Value]]-OrdersYigaelIsrael[[#This Row],[Commission]]+OrdersYigaelIsrael[[#This Row],[Dividand]])/OrdersYigaelIsrael[[#This Row],[Buy Value]]</f>
        <v>1.8277541245343192E-2</v>
      </c>
      <c r="M148">
        <f>OrdersYigaelIsrael[[#This Row],[Sell Value]]-OrdersYigaelIsrael[[#This Row],[Buy Value]]+OrdersYigaelIsrael[[#This Row],[Dividand]]-OrdersYigaelIsrael[[#This Row],[Commission]]</f>
        <v>5848.6980499999763</v>
      </c>
      <c r="N148">
        <f>SUM(INDEX(OrdersYigaelIsrael[P&amp;L],1):OrdersYigaelIsrael[[#This Row],[P&amp;L]])</f>
        <v>105551.77807102057</v>
      </c>
    </row>
    <row r="149" spans="1:17" x14ac:dyDescent="0.25">
      <c r="A149" t="s">
        <v>95</v>
      </c>
      <c r="B149" s="1">
        <v>45790</v>
      </c>
      <c r="C149" s="1">
        <v>45791</v>
      </c>
      <c r="D149" t="str">
        <f>TEXT(OrdersYigaelIsrael[[#This Row],[Sell Date]],"yyyy-mm")</f>
        <v>2025-05</v>
      </c>
      <c r="E149" s="2">
        <v>23900</v>
      </c>
      <c r="F149" s="2">
        <v>24380</v>
      </c>
      <c r="G149" s="21">
        <v>1046</v>
      </c>
      <c r="H149">
        <f>OrdersYigaelIsrael[[#This Row],[Buy Price]]*OrdersYigaelIsrael[[#This Row],[Amount]]/100</f>
        <v>249994</v>
      </c>
      <c r="I149">
        <f>OrdersYigaelIsrael[[#This Row],[Sell Price]]*OrdersYigaelIsrael[[#This Row],[Amount]]/100</f>
        <v>255014.8</v>
      </c>
      <c r="J149">
        <f>(OrdersYigaelIsrael[[#This Row],[Buy Value]]+OrdersYigaelIsrael[[#This Row],[Sell Value]])*0.0007</f>
        <v>353.50615999999997</v>
      </c>
      <c r="K149" s="19">
        <f>(OrdersYigaelIsrael[[#This Row],[Sell Value]]-OrdersYigaelIsrael[[#This Row],[Buy Value]]-OrdersYigaelIsrael[[#This Row],[Commission]]+OrdersYigaelIsrael[[#This Row],[Dividand]])/OrdersYigaelIsrael[[#This Row],[Buy Value]]</f>
        <v>1.8669623430962297E-2</v>
      </c>
      <c r="M149">
        <f>OrdersYigaelIsrael[[#This Row],[Sell Value]]-OrdersYigaelIsrael[[#This Row],[Buy Value]]+OrdersYigaelIsrael[[#This Row],[Dividand]]-OrdersYigaelIsrael[[#This Row],[Commission]]</f>
        <v>4667.2938399999884</v>
      </c>
      <c r="N149">
        <f>SUM(INDEX(OrdersYigaelIsrael[P&amp;L],1):OrdersYigaelIsrael[[#This Row],[P&amp;L]])</f>
        <v>110219.07191102055</v>
      </c>
    </row>
    <row r="150" spans="1:17" x14ac:dyDescent="0.25">
      <c r="A150" t="s">
        <v>39</v>
      </c>
      <c r="B150" s="1">
        <v>45791</v>
      </c>
      <c r="C150" s="1">
        <v>45791</v>
      </c>
      <c r="D150" t="str">
        <f>TEXT(OrdersYigaelIsrael[[#This Row],[Sell Date]],"yyyy-mm")</f>
        <v>2025-05</v>
      </c>
      <c r="E150" s="2">
        <v>21065.66</v>
      </c>
      <c r="F150" s="2">
        <v>21260</v>
      </c>
      <c r="G150" s="21">
        <v>2369</v>
      </c>
      <c r="H150">
        <f>OrdersYigaelIsrael[[#This Row],[Buy Price]]*OrdersYigaelIsrael[[#This Row],[Amount]]/100</f>
        <v>499045.48540000001</v>
      </c>
      <c r="I150">
        <f>OrdersYigaelIsrael[[#This Row],[Sell Price]]*OrdersYigaelIsrael[[#This Row],[Amount]]/100</f>
        <v>503649.4</v>
      </c>
      <c r="J150">
        <f>(OrdersYigaelIsrael[[#This Row],[Buy Value]]+OrdersYigaelIsrael[[#This Row],[Sell Value]])*0.0007</f>
        <v>701.88641977999998</v>
      </c>
      <c r="K150" s="19">
        <f>(OrdersYigaelIsrael[[#This Row],[Sell Value]]-OrdersYigaelIsrael[[#This Row],[Buy Value]]-OrdersYigaelIsrael[[#This Row],[Commission]]+OrdersYigaelIsrael[[#This Row],[Dividand]])/OrdersYigaelIsrael[[#This Row],[Buy Value]]</f>
        <v>7.8189830273535585E-3</v>
      </c>
      <c r="M150">
        <f>OrdersYigaelIsrael[[#This Row],[Sell Value]]-OrdersYigaelIsrael[[#This Row],[Buy Value]]+OrdersYigaelIsrael[[#This Row],[Dividand]]-OrdersYigaelIsrael[[#This Row],[Commission]]</f>
        <v>3902.0281802200184</v>
      </c>
      <c r="N150">
        <f>SUM(INDEX(OrdersYigaelIsrael[P&amp;L],1):OrdersYigaelIsrael[[#This Row],[P&amp;L]])</f>
        <v>114121.10009124057</v>
      </c>
    </row>
    <row r="151" spans="1:17" x14ac:dyDescent="0.25">
      <c r="A151" t="s">
        <v>94</v>
      </c>
      <c r="B151" s="1">
        <v>45791</v>
      </c>
      <c r="C151" s="1">
        <v>45792</v>
      </c>
      <c r="D151" t="str">
        <f>TEXT(OrdersYigaelIsrael[[#This Row],[Sell Date]],"yyyy-mm")</f>
        <v>2025-05</v>
      </c>
      <c r="E151" s="2">
        <v>8620</v>
      </c>
      <c r="F151" s="2">
        <v>8720.7193260000004</v>
      </c>
      <c r="G151" s="21">
        <v>5139</v>
      </c>
      <c r="H151">
        <f>OrdersYigaelIsrael[[#This Row],[Buy Price]]*OrdersYigaelIsrael[[#This Row],[Amount]]/100</f>
        <v>442981.8</v>
      </c>
      <c r="I151">
        <f>OrdersYigaelIsrael[[#This Row],[Sell Price]]*OrdersYigaelIsrael[[#This Row],[Amount]]/100</f>
        <v>448157.76616314001</v>
      </c>
      <c r="J151">
        <f>(OrdersYigaelIsrael[[#This Row],[Buy Value]]+OrdersYigaelIsrael[[#This Row],[Sell Value]])*0.0007</f>
        <v>623.79769631419799</v>
      </c>
      <c r="K151" s="19">
        <f>(OrdersYigaelIsrael[[#This Row],[Sell Value]]-OrdersYigaelIsrael[[#This Row],[Buy Value]]-OrdersYigaelIsrael[[#This Row],[Commission]]+OrdersYigaelIsrael[[#This Row],[Dividand]])/OrdersYigaelIsrael[[#This Row],[Buy Value]]</f>
        <v>1.0276197502529054E-2</v>
      </c>
      <c r="M151">
        <f>OrdersYigaelIsrael[[#This Row],[Sell Value]]-OrdersYigaelIsrael[[#This Row],[Buy Value]]+OrdersYigaelIsrael[[#This Row],[Dividand]]-OrdersYigaelIsrael[[#This Row],[Commission]]</f>
        <v>4552.1684668258249</v>
      </c>
      <c r="N151">
        <f>SUM(INDEX(OrdersYigaelIsrael[P&amp;L],1):OrdersYigaelIsrael[[#This Row],[P&amp;L]])</f>
        <v>118673.2685580664</v>
      </c>
    </row>
    <row r="152" spans="1:17" x14ac:dyDescent="0.25">
      <c r="A152" t="s">
        <v>94</v>
      </c>
      <c r="B152" s="1">
        <v>45791</v>
      </c>
      <c r="C152" s="1">
        <v>45795</v>
      </c>
      <c r="D152" t="str">
        <f>TEXT(OrdersYigaelIsrael[[#This Row],[Sell Date]],"yyyy-mm")</f>
        <v>2025-05</v>
      </c>
      <c r="E152" s="2">
        <v>8620</v>
      </c>
      <c r="F152" s="2">
        <v>8792</v>
      </c>
      <c r="G152" s="21">
        <v>661</v>
      </c>
      <c r="H152">
        <f>OrdersYigaelIsrael[[#This Row],[Buy Price]]*OrdersYigaelIsrael[[#This Row],[Amount]]/100</f>
        <v>56978.2</v>
      </c>
      <c r="I152">
        <f>OrdersYigaelIsrael[[#This Row],[Sell Price]]*OrdersYigaelIsrael[[#This Row],[Amount]]/100</f>
        <v>58115.12</v>
      </c>
      <c r="J152">
        <f>(OrdersYigaelIsrael[[#This Row],[Buy Value]]+OrdersYigaelIsrael[[#This Row],[Sell Value]])*0.0007</f>
        <v>80.565324000000004</v>
      </c>
      <c r="K152" s="19">
        <f>(OrdersYigaelIsrael[[#This Row],[Sell Value]]-OrdersYigaelIsrael[[#This Row],[Buy Value]]-OrdersYigaelIsrael[[#This Row],[Commission]]+OrdersYigaelIsrael[[#This Row],[Dividand]])/OrdersYigaelIsrael[[#This Row],[Buy Value]]</f>
        <v>1.8539628770301724E-2</v>
      </c>
      <c r="M152">
        <f>OrdersYigaelIsrael[[#This Row],[Sell Value]]-OrdersYigaelIsrael[[#This Row],[Buy Value]]+OrdersYigaelIsrael[[#This Row],[Dividand]]-OrdersYigaelIsrael[[#This Row],[Commission]]</f>
        <v>1056.3546760000056</v>
      </c>
      <c r="N152">
        <f>SUM(INDEX(OrdersYigaelIsrael[P&amp;L],1):OrdersYigaelIsrael[[#This Row],[P&amp;L]])</f>
        <v>119729.6232340664</v>
      </c>
    </row>
    <row r="153" spans="1:17" x14ac:dyDescent="0.25">
      <c r="A153" t="s">
        <v>39</v>
      </c>
      <c r="B153" s="1">
        <v>45792</v>
      </c>
      <c r="C153" s="1">
        <v>45795</v>
      </c>
      <c r="D153" t="str">
        <f>TEXT(OrdersYigaelIsrael[[#This Row],[Sell Date]],"yyyy-mm")</f>
        <v>2025-05</v>
      </c>
      <c r="E153" s="2">
        <v>21601.679</v>
      </c>
      <c r="F153" s="2">
        <v>22030</v>
      </c>
      <c r="G153" s="21">
        <v>1382</v>
      </c>
      <c r="H153">
        <f>OrdersYigaelIsrael[[#This Row],[Buy Price]]*OrdersYigaelIsrael[[#This Row],[Amount]]/100</f>
        <v>298535.20377999998</v>
      </c>
      <c r="I153">
        <f>OrdersYigaelIsrael[[#This Row],[Sell Price]]*OrdersYigaelIsrael[[#This Row],[Amount]]/100</f>
        <v>304454.59999999998</v>
      </c>
      <c r="J153">
        <f>(OrdersYigaelIsrael[[#This Row],[Buy Value]]+OrdersYigaelIsrael[[#This Row],[Sell Value]])*0.0007</f>
        <v>422.09286264599996</v>
      </c>
      <c r="K153" s="19">
        <f>(OrdersYigaelIsrael[[#This Row],[Sell Value]]-OrdersYigaelIsrael[[#This Row],[Buy Value]]-OrdersYigaelIsrael[[#This Row],[Commission]]+OrdersYigaelIsrael[[#This Row],[Dividand]])/OrdersYigaelIsrael[[#This Row],[Buy Value]]</f>
        <v>1.8414254961385164E-2</v>
      </c>
      <c r="M153">
        <f>OrdersYigaelIsrael[[#This Row],[Sell Value]]-OrdersYigaelIsrael[[#This Row],[Buy Value]]+OrdersYigaelIsrael[[#This Row],[Dividand]]-OrdersYigaelIsrael[[#This Row],[Commission]]</f>
        <v>5497.3033573539951</v>
      </c>
      <c r="N153">
        <f>SUM(INDEX(OrdersYigaelIsrael[P&amp;L],1):OrdersYigaelIsrael[[#This Row],[P&amp;L]])</f>
        <v>125226.9265914204</v>
      </c>
    </row>
    <row r="154" spans="1:17" x14ac:dyDescent="0.25">
      <c r="A154" t="s">
        <v>98</v>
      </c>
      <c r="B154" s="1">
        <v>45792</v>
      </c>
      <c r="C154" s="1">
        <v>45795</v>
      </c>
      <c r="D154" t="str">
        <f>TEXT(OrdersYigaelIsrael[[#This Row],[Sell Date]],"yyyy-mm")</f>
        <v>2025-05</v>
      </c>
      <c r="E154" s="2">
        <v>55790</v>
      </c>
      <c r="F154" s="2">
        <v>58000</v>
      </c>
      <c r="G154" s="21">
        <v>716</v>
      </c>
      <c r="H154">
        <f>OrdersYigaelIsrael[[#This Row],[Buy Price]]*OrdersYigaelIsrael[[#This Row],[Amount]]/100</f>
        <v>399456.4</v>
      </c>
      <c r="I154">
        <f>OrdersYigaelIsrael[[#This Row],[Sell Price]]*OrdersYigaelIsrael[[#This Row],[Amount]]/100</f>
        <v>415280</v>
      </c>
      <c r="J154">
        <f>(OrdersYigaelIsrael[[#This Row],[Buy Value]]+OrdersYigaelIsrael[[#This Row],[Sell Value]])*0.0007</f>
        <v>570.31547999999998</v>
      </c>
      <c r="K154" s="19">
        <f>(OrdersYigaelIsrael[[#This Row],[Sell Value]]-OrdersYigaelIsrael[[#This Row],[Buy Value]]-OrdersYigaelIsrael[[#This Row],[Commission]]+OrdersYigaelIsrael[[#This Row],[Dividand]])/OrdersYigaelIsrael[[#This Row],[Buy Value]]</f>
        <v>3.8185104857501283E-2</v>
      </c>
      <c r="M154">
        <f>OrdersYigaelIsrael[[#This Row],[Sell Value]]-OrdersYigaelIsrael[[#This Row],[Buy Value]]+OrdersYigaelIsrael[[#This Row],[Dividand]]-OrdersYigaelIsrael[[#This Row],[Commission]]</f>
        <v>15253.284519999977</v>
      </c>
      <c r="N154">
        <f>SUM(INDEX(OrdersYigaelIsrael[P&amp;L],1):OrdersYigaelIsrael[[#This Row],[P&amp;L]])</f>
        <v>140480.21111142039</v>
      </c>
    </row>
    <row r="155" spans="1:17" x14ac:dyDescent="0.25">
      <c r="A155" t="s">
        <v>19</v>
      </c>
      <c r="B155" s="1">
        <v>45789</v>
      </c>
      <c r="C155" s="1">
        <v>45796</v>
      </c>
      <c r="D155" t="str">
        <f>TEXT(OrdersYigaelIsrael[[#This Row],[Sell Date]],"yyyy-mm")</f>
        <v>2025-05</v>
      </c>
      <c r="E155" s="2">
        <v>139000</v>
      </c>
      <c r="F155" s="2">
        <v>141780</v>
      </c>
      <c r="G155" s="21">
        <v>215</v>
      </c>
      <c r="H155">
        <f>OrdersYigaelIsrael[[#This Row],[Buy Price]]*OrdersYigaelIsrael[[#This Row],[Amount]]/100</f>
        <v>298850</v>
      </c>
      <c r="I155">
        <f>OrdersYigaelIsrael[[#This Row],[Sell Price]]*OrdersYigaelIsrael[[#This Row],[Amount]]/100</f>
        <v>304827</v>
      </c>
      <c r="J155">
        <f>(OrdersYigaelIsrael[[#This Row],[Buy Value]]+OrdersYigaelIsrael[[#This Row],[Sell Value]])*0.0007</f>
        <v>422.57389999999998</v>
      </c>
      <c r="K155" s="19">
        <f>(OrdersYigaelIsrael[[#This Row],[Sell Value]]-OrdersYigaelIsrael[[#This Row],[Buy Value]]-OrdersYigaelIsrael[[#This Row],[Commission]]+OrdersYigaelIsrael[[#This Row],[Dividand]])/OrdersYigaelIsrael[[#This Row],[Buy Value]]</f>
        <v>1.8585999999999998E-2</v>
      </c>
      <c r="M155">
        <f>OrdersYigaelIsrael[[#This Row],[Sell Value]]-OrdersYigaelIsrael[[#This Row],[Buy Value]]+OrdersYigaelIsrael[[#This Row],[Dividand]]-OrdersYigaelIsrael[[#This Row],[Commission]]</f>
        <v>5554.4260999999997</v>
      </c>
      <c r="N155">
        <f>SUM(INDEX(OrdersYigaelIsrael[P&amp;L],1):OrdersYigaelIsrael[[#This Row],[P&amp;L]])</f>
        <v>146034.6372114204</v>
      </c>
    </row>
    <row r="156" spans="1:17" x14ac:dyDescent="0.25">
      <c r="A156" t="s">
        <v>40</v>
      </c>
      <c r="B156" s="1">
        <v>45796</v>
      </c>
      <c r="C156" s="1">
        <v>45797</v>
      </c>
      <c r="D156" t="str">
        <f>TEXT(OrdersYigaelIsrael[[#This Row],[Sell Date]],"yyyy-mm")</f>
        <v>2025-05</v>
      </c>
      <c r="E156" s="2">
        <v>66750</v>
      </c>
      <c r="F156" s="2">
        <v>67000</v>
      </c>
      <c r="G156" s="21">
        <v>299</v>
      </c>
      <c r="H156">
        <f>OrdersYigaelIsrael[[#This Row],[Buy Price]]*OrdersYigaelIsrael[[#This Row],[Amount]]/100</f>
        <v>199582.5</v>
      </c>
      <c r="I156">
        <f>OrdersYigaelIsrael[[#This Row],[Sell Price]]*OrdersYigaelIsrael[[#This Row],[Amount]]/100</f>
        <v>200330</v>
      </c>
      <c r="J156">
        <f>(OrdersYigaelIsrael[[#This Row],[Buy Value]]+OrdersYigaelIsrael[[#This Row],[Sell Value]])*0.0007</f>
        <v>279.93874999999997</v>
      </c>
      <c r="K156" s="19">
        <f>(OrdersYigaelIsrael[[#This Row],[Sell Value]]-OrdersYigaelIsrael[[#This Row],[Buy Value]]-OrdersYigaelIsrael[[#This Row],[Commission]]+OrdersYigaelIsrael[[#This Row],[Dividand]])/OrdersYigaelIsrael[[#This Row],[Buy Value]]</f>
        <v>2.3426966292134834E-3</v>
      </c>
      <c r="M156">
        <f>OrdersYigaelIsrael[[#This Row],[Sell Value]]-OrdersYigaelIsrael[[#This Row],[Buy Value]]+OrdersYigaelIsrael[[#This Row],[Dividand]]-OrdersYigaelIsrael[[#This Row],[Commission]]</f>
        <v>467.56125000000003</v>
      </c>
      <c r="N156">
        <f>SUM(INDEX(OrdersYigaelIsrael[P&amp;L],1):OrdersYigaelIsrael[[#This Row],[P&amp;L]])</f>
        <v>146502.1984614204</v>
      </c>
      <c r="P156" t="s">
        <v>97</v>
      </c>
      <c r="Q156" s="20">
        <f>SUMIFS(OrdersYigaelIsrael[P&amp;L], OrdersYigaelIsrael[Year-Month], "2025-05")</f>
        <v>119201.19779325771</v>
      </c>
    </row>
    <row r="157" spans="1:17" x14ac:dyDescent="0.25">
      <c r="A157" t="s">
        <v>95</v>
      </c>
      <c r="B157" s="1">
        <v>45796</v>
      </c>
      <c r="C157" s="1">
        <v>45797</v>
      </c>
      <c r="D157" t="str">
        <f>TEXT(OrdersYigaelIsrael[[#This Row],[Sell Date]],"yyyy-mm")</f>
        <v>2025-05</v>
      </c>
      <c r="E157" s="2">
        <v>23050</v>
      </c>
      <c r="F157" s="2">
        <v>23100</v>
      </c>
      <c r="G157" s="21">
        <v>1041</v>
      </c>
      <c r="H157">
        <f>OrdersYigaelIsrael[[#This Row],[Buy Price]]*OrdersYigaelIsrael[[#This Row],[Amount]]/100</f>
        <v>239950.5</v>
      </c>
      <c r="I157">
        <f>OrdersYigaelIsrael[[#This Row],[Sell Price]]*OrdersYigaelIsrael[[#This Row],[Amount]]/100</f>
        <v>240471</v>
      </c>
      <c r="J157">
        <f>(OrdersYigaelIsrael[[#This Row],[Buy Value]]+OrdersYigaelIsrael[[#This Row],[Sell Value]])*0.0007</f>
        <v>336.29505</v>
      </c>
      <c r="K157" s="19">
        <f>(OrdersYigaelIsrael[[#This Row],[Sell Value]]-OrdersYigaelIsrael[[#This Row],[Buy Value]]-OrdersYigaelIsrael[[#This Row],[Commission]]+OrdersYigaelIsrael[[#This Row],[Dividand]])/OrdersYigaelIsrael[[#This Row],[Buy Value]]</f>
        <v>7.6767895878524948E-4</v>
      </c>
      <c r="M157">
        <f>OrdersYigaelIsrael[[#This Row],[Sell Value]]-OrdersYigaelIsrael[[#This Row],[Buy Value]]+OrdersYigaelIsrael[[#This Row],[Dividand]]-OrdersYigaelIsrael[[#This Row],[Commission]]</f>
        <v>184.20495</v>
      </c>
      <c r="N157">
        <f>SUM(INDEX(OrdersYigaelIsrael[P&amp;L],1):OrdersYigaelIsrael[[#This Row],[P&amp;L]])</f>
        <v>146686.40341142041</v>
      </c>
    </row>
    <row r="158" spans="1:17" x14ac:dyDescent="0.25">
      <c r="A158" t="s">
        <v>24</v>
      </c>
      <c r="B158" s="1">
        <v>45798</v>
      </c>
      <c r="C158" s="1">
        <v>45798</v>
      </c>
      <c r="D158" t="str">
        <f>TEXT(OrdersYigaelIsrael[[#This Row],[Sell Date]],"yyyy-mm")</f>
        <v>2025-05</v>
      </c>
      <c r="E158" s="2">
        <v>1668</v>
      </c>
      <c r="F158" s="2">
        <v>1702</v>
      </c>
      <c r="G158" s="21">
        <v>11990</v>
      </c>
      <c r="H158">
        <f>OrdersYigaelIsrael[[#This Row],[Buy Price]]*OrdersYigaelIsrael[[#This Row],[Amount]]/100</f>
        <v>199993.2</v>
      </c>
      <c r="I158">
        <f>OrdersYigaelIsrael[[#This Row],[Sell Price]]*OrdersYigaelIsrael[[#This Row],[Amount]]/100</f>
        <v>204069.8</v>
      </c>
      <c r="J158">
        <f>(OrdersYigaelIsrael[[#This Row],[Buy Value]]+OrdersYigaelIsrael[[#This Row],[Sell Value]])*0.0007</f>
        <v>282.84409999999997</v>
      </c>
      <c r="K158" s="19">
        <f>(OrdersYigaelIsrael[[#This Row],[Sell Value]]-OrdersYigaelIsrael[[#This Row],[Buy Value]]-OrdersYigaelIsrael[[#This Row],[Commission]]+OrdersYigaelIsrael[[#This Row],[Dividand]])/OrdersYigaelIsrael[[#This Row],[Buy Value]]</f>
        <v>1.8969424460431539E-2</v>
      </c>
      <c r="M158">
        <f>OrdersYigaelIsrael[[#This Row],[Sell Value]]-OrdersYigaelIsrael[[#This Row],[Buy Value]]+OrdersYigaelIsrael[[#This Row],[Dividand]]-OrdersYigaelIsrael[[#This Row],[Commission]]</f>
        <v>3793.7558999999769</v>
      </c>
      <c r="N158">
        <f>SUM(INDEX(OrdersYigaelIsrael[P&amp;L],1):OrdersYigaelIsrael[[#This Row],[P&amp;L]])</f>
        <v>150480.1593114204</v>
      </c>
    </row>
    <row r="159" spans="1:17" x14ac:dyDescent="0.25">
      <c r="A159" t="s">
        <v>100</v>
      </c>
      <c r="B159" s="1">
        <v>45798</v>
      </c>
      <c r="C159" s="1">
        <v>45798</v>
      </c>
      <c r="D159" t="str">
        <f>TEXT(OrdersYigaelIsrael[[#This Row],[Sell Date]],"yyyy-mm")</f>
        <v>2025-05</v>
      </c>
      <c r="E159" s="2">
        <v>33260</v>
      </c>
      <c r="F159" s="2">
        <v>33920</v>
      </c>
      <c r="G159" s="21">
        <v>600</v>
      </c>
      <c r="H159">
        <f>OrdersYigaelIsrael[[#This Row],[Buy Price]]*OrdersYigaelIsrael[[#This Row],[Amount]]/100</f>
        <v>199560</v>
      </c>
      <c r="I159">
        <f>OrdersYigaelIsrael[[#This Row],[Sell Price]]*OrdersYigaelIsrael[[#This Row],[Amount]]/100</f>
        <v>203520</v>
      </c>
      <c r="J159">
        <f>(OrdersYigaelIsrael[[#This Row],[Buy Value]]+OrdersYigaelIsrael[[#This Row],[Sell Value]])*0.0007</f>
        <v>282.15600000000001</v>
      </c>
      <c r="K159" s="19">
        <f>(OrdersYigaelIsrael[[#This Row],[Sell Value]]-OrdersYigaelIsrael[[#This Row],[Buy Value]]-OrdersYigaelIsrael[[#This Row],[Commission]]+OrdersYigaelIsrael[[#This Row],[Dividand]])/OrdersYigaelIsrael[[#This Row],[Buy Value]]</f>
        <v>1.8429765484064942E-2</v>
      </c>
      <c r="M159">
        <f>OrdersYigaelIsrael[[#This Row],[Sell Value]]-OrdersYigaelIsrael[[#This Row],[Buy Value]]+OrdersYigaelIsrael[[#This Row],[Dividand]]-OrdersYigaelIsrael[[#This Row],[Commission]]</f>
        <v>3677.8440000000001</v>
      </c>
      <c r="N159">
        <f>SUM(INDEX(OrdersYigaelIsrael[P&amp;L],1):OrdersYigaelIsrael[[#This Row],[P&amp;L]])</f>
        <v>154158.00331142041</v>
      </c>
    </row>
    <row r="160" spans="1:17" x14ac:dyDescent="0.25">
      <c r="A160" t="s">
        <v>94</v>
      </c>
      <c r="B160" s="1">
        <v>45796</v>
      </c>
      <c r="C160" s="1">
        <v>45803</v>
      </c>
      <c r="D160" t="str">
        <f>TEXT(OrdersYigaelIsrael[[#This Row],[Sell Date]],"yyyy-mm")</f>
        <v>2025-05</v>
      </c>
      <c r="E160" s="2">
        <v>8569.7669999999998</v>
      </c>
      <c r="F160" s="2">
        <v>8050.03</v>
      </c>
      <c r="G160" s="21">
        <v>2957</v>
      </c>
      <c r="H160">
        <f>OrdersYigaelIsrael[[#This Row],[Buy Price]]*OrdersYigaelIsrael[[#This Row],[Amount]]/100</f>
        <v>253408.01019</v>
      </c>
      <c r="I160">
        <f>OrdersYigaelIsrael[[#This Row],[Sell Price]]*OrdersYigaelIsrael[[#This Row],[Amount]]/100</f>
        <v>238039.38710000002</v>
      </c>
      <c r="J160">
        <f>(OrdersYigaelIsrael[[#This Row],[Buy Value]]+OrdersYigaelIsrael[[#This Row],[Sell Value]])*0.0007</f>
        <v>344.01317810299997</v>
      </c>
      <c r="K160" s="19">
        <f>(OrdersYigaelIsrael[[#This Row],[Sell Value]]-OrdersYigaelIsrael[[#This Row],[Buy Value]]-OrdersYigaelIsrael[[#This Row],[Commission]]+OrdersYigaelIsrael[[#This Row],[Dividand]])/OrdersYigaelIsrael[[#This Row],[Buy Value]]</f>
        <v>-5.5296737690322409E-2</v>
      </c>
      <c r="L160">
        <v>1700</v>
      </c>
      <c r="M160">
        <f>OrdersYigaelIsrael[[#This Row],[Sell Value]]-OrdersYigaelIsrael[[#This Row],[Buy Value]]+OrdersYigaelIsrael[[#This Row],[Dividand]]-OrdersYigaelIsrael[[#This Row],[Commission]]</f>
        <v>-14012.636268102979</v>
      </c>
      <c r="N160">
        <f>SUM(INDEX(OrdersYigaelIsrael[P&amp;L],1):OrdersYigaelIsrael[[#This Row],[P&amp;L]])</f>
        <v>140145.36704331744</v>
      </c>
    </row>
    <row r="161" spans="1:17" x14ac:dyDescent="0.25">
      <c r="A161" t="s">
        <v>101</v>
      </c>
      <c r="B161" s="1">
        <v>45803</v>
      </c>
      <c r="C161" s="1">
        <v>45803</v>
      </c>
      <c r="D161" t="str">
        <f>TEXT(OrdersYigaelIsrael[[#This Row],[Sell Date]],"yyyy-mm")</f>
        <v>2025-05</v>
      </c>
      <c r="E161" s="2">
        <v>8846</v>
      </c>
      <c r="F161" s="2">
        <v>8934</v>
      </c>
      <c r="G161" s="21">
        <v>5087</v>
      </c>
      <c r="H161">
        <f>OrdersYigaelIsrael[[#This Row],[Buy Price]]*OrdersYigaelIsrael[[#This Row],[Amount]]/100</f>
        <v>449996.02</v>
      </c>
      <c r="I161">
        <f>OrdersYigaelIsrael[[#This Row],[Sell Price]]*OrdersYigaelIsrael[[#This Row],[Amount]]/100</f>
        <v>454472.58</v>
      </c>
      <c r="J161">
        <f>(OrdersYigaelIsrael[[#This Row],[Buy Value]]+OrdersYigaelIsrael[[#This Row],[Sell Value]])*0.0007</f>
        <v>633.12802000000011</v>
      </c>
      <c r="K161" s="19">
        <f>(OrdersYigaelIsrael[[#This Row],[Sell Value]]-OrdersYigaelIsrael[[#This Row],[Buy Value]]-OrdersYigaelIsrael[[#This Row],[Commission]]+OrdersYigaelIsrael[[#This Row],[Dividand]])/OrdersYigaelIsrael[[#This Row],[Buy Value]]</f>
        <v>8.5410354962694949E-3</v>
      </c>
      <c r="M161">
        <f>OrdersYigaelIsrael[[#This Row],[Sell Value]]-OrdersYigaelIsrael[[#This Row],[Buy Value]]+OrdersYigaelIsrael[[#This Row],[Dividand]]-OrdersYigaelIsrael[[#This Row],[Commission]]</f>
        <v>3843.4319799999976</v>
      </c>
      <c r="N161">
        <f>SUM(INDEX(OrdersYigaelIsrael[P&amp;L],1):OrdersYigaelIsrael[[#This Row],[P&amp;L]])</f>
        <v>143988.79902331744</v>
      </c>
    </row>
    <row r="162" spans="1:17" x14ac:dyDescent="0.25">
      <c r="A162" t="s">
        <v>23</v>
      </c>
      <c r="B162" s="1">
        <v>45796</v>
      </c>
      <c r="C162" s="1">
        <v>45803</v>
      </c>
      <c r="D162" t="str">
        <f>TEXT(OrdersYigaelIsrael[[#This Row],[Sell Date]],"yyyy-mm")</f>
        <v>2025-05</v>
      </c>
      <c r="E162" s="2">
        <v>2932.4140000000002</v>
      </c>
      <c r="F162" s="2">
        <v>2991</v>
      </c>
      <c r="G162" s="21">
        <v>13656</v>
      </c>
      <c r="H162">
        <f>OrdersYigaelIsrael[[#This Row],[Buy Price]]*OrdersYigaelIsrael[[#This Row],[Amount]]/100</f>
        <v>400450.45584000007</v>
      </c>
      <c r="I162">
        <f>OrdersYigaelIsrael[[#This Row],[Sell Price]]*OrdersYigaelIsrael[[#This Row],[Amount]]/100</f>
        <v>408450.96</v>
      </c>
      <c r="J162">
        <f>(OrdersYigaelIsrael[[#This Row],[Buy Value]]+OrdersYigaelIsrael[[#This Row],[Sell Value]])*0.0007</f>
        <v>566.23099108800011</v>
      </c>
      <c r="K162" s="19">
        <f>(OrdersYigaelIsrael[[#This Row],[Sell Value]]-OrdersYigaelIsrael[[#This Row],[Buy Value]]-OrdersYigaelIsrael[[#This Row],[Commission]]+OrdersYigaelIsrael[[#This Row],[Dividand]])/OrdersYigaelIsrael[[#This Row],[Buy Value]]</f>
        <v>1.8564776392419231E-2</v>
      </c>
      <c r="M162">
        <f>OrdersYigaelIsrael[[#This Row],[Sell Value]]-OrdersYigaelIsrael[[#This Row],[Buy Value]]+OrdersYigaelIsrael[[#This Row],[Dividand]]-OrdersYigaelIsrael[[#This Row],[Commission]]</f>
        <v>7434.2731689119528</v>
      </c>
      <c r="N162">
        <f>SUM(INDEX(OrdersYigaelIsrael[P&amp;L],1):OrdersYigaelIsrael[[#This Row],[P&amp;L]])</f>
        <v>151423.07219222939</v>
      </c>
    </row>
    <row r="163" spans="1:17" x14ac:dyDescent="0.25">
      <c r="A163" t="s">
        <v>26</v>
      </c>
      <c r="B163" s="1">
        <v>45796</v>
      </c>
      <c r="C163" s="1">
        <v>45803</v>
      </c>
      <c r="D163" t="str">
        <f>TEXT(OrdersYigaelIsrael[[#This Row],[Sell Date]],"yyyy-mm")</f>
        <v>2025-05</v>
      </c>
      <c r="E163" s="2">
        <v>6431.5429999999997</v>
      </c>
      <c r="F163" s="2">
        <v>6495</v>
      </c>
      <c r="G163" s="21">
        <v>776</v>
      </c>
      <c r="H163">
        <f>OrdersYigaelIsrael[[#This Row],[Buy Price]]*OrdersYigaelIsrael[[#This Row],[Amount]]/100</f>
        <v>49908.773679999998</v>
      </c>
      <c r="I163">
        <f>OrdersYigaelIsrael[[#This Row],[Sell Price]]*OrdersYigaelIsrael[[#This Row],[Amount]]/100</f>
        <v>50401.2</v>
      </c>
      <c r="J163">
        <f>(OrdersYigaelIsrael[[#This Row],[Buy Value]]+OrdersYigaelIsrael[[#This Row],[Sell Value]])*0.0007</f>
        <v>70.216981575999995</v>
      </c>
      <c r="K163" s="19">
        <f>(OrdersYigaelIsrael[[#This Row],[Sell Value]]-OrdersYigaelIsrael[[#This Row],[Buy Value]]-OrdersYigaelIsrael[[#This Row],[Commission]]+OrdersYigaelIsrael[[#This Row],[Dividand]])/OrdersYigaelIsrael[[#This Row],[Buy Value]]</f>
        <v>8.4596215713709493E-3</v>
      </c>
      <c r="M163">
        <f>OrdersYigaelIsrael[[#This Row],[Sell Value]]-OrdersYigaelIsrael[[#This Row],[Buy Value]]+OrdersYigaelIsrael[[#This Row],[Dividand]]-OrdersYigaelIsrael[[#This Row],[Commission]]</f>
        <v>422.2093384239987</v>
      </c>
      <c r="N163">
        <f>SUM(INDEX(OrdersYigaelIsrael[P&amp;L],1):OrdersYigaelIsrael[[#This Row],[P&amp;L]])</f>
        <v>151845.28153065339</v>
      </c>
    </row>
    <row r="164" spans="1:17" x14ac:dyDescent="0.25">
      <c r="A164" t="s">
        <v>99</v>
      </c>
      <c r="B164" s="1">
        <v>45797</v>
      </c>
      <c r="C164" s="1">
        <v>45806</v>
      </c>
      <c r="D164" t="str">
        <f>TEXT(OrdersYigaelIsrael[[#This Row],[Sell Date]],"yyyy-mm")</f>
        <v>2025-05</v>
      </c>
      <c r="E164" s="2">
        <v>3174.9679999999998</v>
      </c>
      <c r="F164" s="2">
        <v>3160</v>
      </c>
      <c r="G164" s="21">
        <v>7547</v>
      </c>
      <c r="H164">
        <f>OrdersYigaelIsrael[[#This Row],[Buy Price]]*OrdersYigaelIsrael[[#This Row],[Amount]]/100</f>
        <v>239614.83496000001</v>
      </c>
      <c r="I164">
        <f>OrdersYigaelIsrael[[#This Row],[Sell Price]]*OrdersYigaelIsrael[[#This Row],[Amount]]/100</f>
        <v>238485.2</v>
      </c>
      <c r="J164">
        <f>(OrdersYigaelIsrael[[#This Row],[Buy Value]]+OrdersYigaelIsrael[[#This Row],[Sell Value]])*0.0007</f>
        <v>334.67002447200002</v>
      </c>
      <c r="K164" s="19">
        <f>(OrdersYigaelIsrael[[#This Row],[Sell Value]]-OrdersYigaelIsrael[[#This Row],[Buy Value]]-OrdersYigaelIsrael[[#This Row],[Commission]]+OrdersYigaelIsrael[[#This Row],[Dividand]])/OrdersYigaelIsrael[[#This Row],[Buy Value]]</f>
        <v>-6.1110781588979615E-3</v>
      </c>
      <c r="M164">
        <f>OrdersYigaelIsrael[[#This Row],[Sell Value]]-OrdersYigaelIsrael[[#This Row],[Buy Value]]+OrdersYigaelIsrael[[#This Row],[Dividand]]-OrdersYigaelIsrael[[#This Row],[Commission]]</f>
        <v>-1464.3049844719958</v>
      </c>
      <c r="N164">
        <f>SUM(INDEX(OrdersYigaelIsrael[P&amp;L],1):OrdersYigaelIsrael[[#This Row],[P&amp;L]])</f>
        <v>150380.97654618139</v>
      </c>
    </row>
    <row r="165" spans="1:17" x14ac:dyDescent="0.25">
      <c r="A165" t="s">
        <v>102</v>
      </c>
      <c r="B165" s="1">
        <v>45804</v>
      </c>
      <c r="C165" s="1">
        <v>45806</v>
      </c>
      <c r="D165" t="str">
        <f>TEXT(OrdersYigaelIsrael[[#This Row],[Sell Date]],"yyyy-mm")</f>
        <v>2025-05</v>
      </c>
      <c r="E165" s="2">
        <v>1489.789</v>
      </c>
      <c r="F165" s="2">
        <v>1457</v>
      </c>
      <c r="G165" s="21">
        <v>20174</v>
      </c>
      <c r="H165">
        <f>OrdersYigaelIsrael[[#This Row],[Buy Price]]*OrdersYigaelIsrael[[#This Row],[Amount]]/100</f>
        <v>300550.03285999998</v>
      </c>
      <c r="I165">
        <f>OrdersYigaelIsrael[[#This Row],[Sell Price]]*OrdersYigaelIsrael[[#This Row],[Amount]]/100</f>
        <v>293935.18</v>
      </c>
      <c r="J165">
        <f>(OrdersYigaelIsrael[[#This Row],[Buy Value]]+OrdersYigaelIsrael[[#This Row],[Sell Value]])*0.0007</f>
        <v>416.139649002</v>
      </c>
      <c r="K165" s="19">
        <f>(OrdersYigaelIsrael[[#This Row],[Sell Value]]-OrdersYigaelIsrael[[#This Row],[Buy Value]]-OrdersYigaelIsrael[[#This Row],[Commission]]+OrdersYigaelIsrael[[#This Row],[Dividand]])/OrdersYigaelIsrael[[#This Row],[Buy Value]]</f>
        <v>-2.3393750591526669E-2</v>
      </c>
      <c r="M165">
        <f>OrdersYigaelIsrael[[#This Row],[Sell Value]]-OrdersYigaelIsrael[[#This Row],[Buy Value]]+OrdersYigaelIsrael[[#This Row],[Dividand]]-OrdersYigaelIsrael[[#This Row],[Commission]]</f>
        <v>-7030.9925090019842</v>
      </c>
      <c r="N165">
        <f>SUM(INDEX(OrdersYigaelIsrael[P&amp;L],1):OrdersYigaelIsrael[[#This Row],[P&amp;L]])</f>
        <v>143349.98403717941</v>
      </c>
    </row>
    <row r="166" spans="1:17" x14ac:dyDescent="0.25">
      <c r="A166" t="s">
        <v>103</v>
      </c>
      <c r="B166" s="1">
        <v>45805</v>
      </c>
      <c r="C166" s="1">
        <v>45806</v>
      </c>
      <c r="D166" t="str">
        <f>TEXT(OrdersYigaelIsrael[[#This Row],[Sell Date]],"yyyy-mm")</f>
        <v>2025-05</v>
      </c>
      <c r="E166" s="2">
        <v>8500</v>
      </c>
      <c r="F166">
        <v>8675.0300000000007</v>
      </c>
      <c r="G166" s="21">
        <v>3529</v>
      </c>
      <c r="H166">
        <f>OrdersYigaelIsrael[[#This Row],[Buy Price]]*OrdersYigaelIsrael[[#This Row],[Amount]]/100</f>
        <v>299965</v>
      </c>
      <c r="I166">
        <f>OrdersYigaelIsrael[[#This Row],[Sell Price]]*OrdersYigaelIsrael[[#This Row],[Amount]]/100</f>
        <v>306141.80869999999</v>
      </c>
      <c r="J166">
        <f>(OrdersYigaelIsrael[[#This Row],[Buy Value]]+OrdersYigaelIsrael[[#This Row],[Sell Value]])*0.0007</f>
        <v>424.27476608999996</v>
      </c>
      <c r="K166" s="19">
        <f>(OrdersYigaelIsrael[[#This Row],[Sell Value]]-OrdersYigaelIsrael[[#This Row],[Buy Value]]-OrdersYigaelIsrael[[#This Row],[Commission]]+OrdersYigaelIsrael[[#This Row],[Dividand]])/OrdersYigaelIsrael[[#This Row],[Buy Value]]</f>
        <v>1.9177350470588213E-2</v>
      </c>
      <c r="M166">
        <f>OrdersYigaelIsrael[[#This Row],[Sell Value]]-OrdersYigaelIsrael[[#This Row],[Buy Value]]+OrdersYigaelIsrael[[#This Row],[Dividand]]-OrdersYigaelIsrael[[#This Row],[Commission]]</f>
        <v>5752.5339339099937</v>
      </c>
      <c r="N166">
        <f>SUM(INDEX(OrdersYigaelIsrael[P&amp;L],1):OrdersYigaelIsrael[[#This Row],[P&amp;L]])</f>
        <v>149102.5179710894</v>
      </c>
    </row>
    <row r="167" spans="1:17" x14ac:dyDescent="0.25">
      <c r="A167" t="s">
        <v>91</v>
      </c>
      <c r="B167" s="1">
        <v>45806</v>
      </c>
      <c r="C167" s="1">
        <v>45813</v>
      </c>
      <c r="D167" t="str">
        <f>TEXT(OrdersYigaelIsrael[[#This Row],[Sell Date]],"yyyy-mm")</f>
        <v>2025-06</v>
      </c>
      <c r="E167" s="2">
        <v>26846.43</v>
      </c>
      <c r="F167" s="2">
        <v>27039.51</v>
      </c>
      <c r="G167" s="21">
        <v>1112</v>
      </c>
      <c r="H167">
        <f>OrdersYigaelIsrael[[#This Row],[Buy Price]]*OrdersYigaelIsrael[[#This Row],[Amount]]/100</f>
        <v>298532.30160000001</v>
      </c>
      <c r="I167">
        <f>OrdersYigaelIsrael[[#This Row],[Sell Price]]*OrdersYigaelIsrael[[#This Row],[Amount]]/100</f>
        <v>300679.35119999998</v>
      </c>
      <c r="J167">
        <f>(OrdersYigaelIsrael[[#This Row],[Buy Value]]+OrdersYigaelIsrael[[#This Row],[Sell Value]])*0.0007</f>
        <v>419.44815696000001</v>
      </c>
      <c r="K167" s="19">
        <f>(OrdersYigaelIsrael[[#This Row],[Sell Value]]-OrdersYigaelIsrael[[#This Row],[Buy Value]]-OrdersYigaelIsrael[[#This Row],[Commission]]+OrdersYigaelIsrael[[#This Row],[Dividand]])/OrdersYigaelIsrael[[#This Row],[Buy Value]]</f>
        <v>5.7869832972204218E-3</v>
      </c>
      <c r="M167">
        <f>OrdersYigaelIsrael[[#This Row],[Sell Value]]-OrdersYigaelIsrael[[#This Row],[Buy Value]]+OrdersYigaelIsrael[[#This Row],[Dividand]]-OrdersYigaelIsrael[[#This Row],[Commission]]</f>
        <v>1727.6014430399694</v>
      </c>
      <c r="N167">
        <f>SUM(INDEX(OrdersYigaelIsrael[P&amp;L],1):OrdersYigaelIsrael[[#This Row],[P&amp;L]])</f>
        <v>150830.11941412938</v>
      </c>
    </row>
    <row r="168" spans="1:17" x14ac:dyDescent="0.25">
      <c r="A168" t="s">
        <v>105</v>
      </c>
      <c r="B168" s="1">
        <v>45816</v>
      </c>
      <c r="C168" s="1">
        <v>45818</v>
      </c>
      <c r="D168" t="str">
        <f>TEXT(OrdersYigaelIsrael[[#This Row],[Sell Date]],"yyyy-mm")</f>
        <v>2025-06</v>
      </c>
      <c r="E168" s="2">
        <v>14124.223</v>
      </c>
      <c r="F168" s="2">
        <v>14430</v>
      </c>
      <c r="G168" s="21">
        <v>2285</v>
      </c>
      <c r="H168">
        <f>OrdersYigaelIsrael[[#This Row],[Buy Price]]*OrdersYigaelIsrael[[#This Row],[Amount]]/100</f>
        <v>322738.49554999999</v>
      </c>
      <c r="I168">
        <f>OrdersYigaelIsrael[[#This Row],[Sell Price]]*OrdersYigaelIsrael[[#This Row],[Amount]]/100</f>
        <v>329725.5</v>
      </c>
      <c r="J168">
        <f>(OrdersYigaelIsrael[[#This Row],[Buy Value]]+OrdersYigaelIsrael[[#This Row],[Sell Value]])*0.0007</f>
        <v>456.72479688499999</v>
      </c>
      <c r="K168" s="19">
        <f>(OrdersYigaelIsrael[[#This Row],[Sell Value]]-OrdersYigaelIsrael[[#This Row],[Buy Value]]-OrdersYigaelIsrael[[#This Row],[Commission]]+OrdersYigaelIsrael[[#This Row],[Dividand]])/OrdersYigaelIsrael[[#This Row],[Buy Value]]</f>
        <v>2.0233965712662592E-2</v>
      </c>
      <c r="M168">
        <f>OrdersYigaelIsrael[[#This Row],[Sell Value]]-OrdersYigaelIsrael[[#This Row],[Buy Value]]+OrdersYigaelIsrael[[#This Row],[Dividand]]-OrdersYigaelIsrael[[#This Row],[Commission]]</f>
        <v>6530.2796531150079</v>
      </c>
      <c r="N168">
        <f>SUM(INDEX(OrdersYigaelIsrael[P&amp;L],1):OrdersYigaelIsrael[[#This Row],[P&amp;L]])</f>
        <v>157360.39906724438</v>
      </c>
    </row>
    <row r="169" spans="1:17" x14ac:dyDescent="0.25">
      <c r="A169" t="s">
        <v>44</v>
      </c>
      <c r="B169" s="1">
        <v>45386</v>
      </c>
      <c r="D169" t="str">
        <f>TEXT(OrdersYigaelIsrael[[#This Row],[Sell Date]],"yyyy-mm")</f>
        <v>1900-01</v>
      </c>
      <c r="E169" s="2" t="s">
        <v>45</v>
      </c>
      <c r="G169" s="21">
        <v>130</v>
      </c>
      <c r="H169" s="18" t="s">
        <v>46</v>
      </c>
      <c r="K169" s="19"/>
      <c r="P169" t="s">
        <v>104</v>
      </c>
      <c r="Q169" s="20">
        <f>SUMIFS(OrdersYigaelIsrael[P&amp;L], OrdersYigaelIsrael[Year-Month], "2025-06")</f>
        <v>14634.752939339965</v>
      </c>
    </row>
    <row r="170" spans="1:17" x14ac:dyDescent="0.25">
      <c r="A170" t="s">
        <v>92</v>
      </c>
      <c r="B170" s="1">
        <v>45806</v>
      </c>
      <c r="D170" t="str">
        <f>TEXT(OrdersYigaelIsrael[[#This Row],[Sell Date]],"yyyy-mm")</f>
        <v>1900-01</v>
      </c>
      <c r="E170" s="2">
        <v>25439.082999999999</v>
      </c>
      <c r="G170" s="21">
        <v>2334</v>
      </c>
      <c r="H170">
        <f>OrdersYigaelIsrael[[#This Row],[Buy Price]]*OrdersYigaelIsrael[[#This Row],[Amount]]/100</f>
        <v>593748.19721999997</v>
      </c>
      <c r="K170" s="19"/>
      <c r="L170">
        <v>2570.58</v>
      </c>
    </row>
    <row r="171" spans="1:17" x14ac:dyDescent="0.25">
      <c r="A171" t="s">
        <v>100</v>
      </c>
      <c r="B171" s="1">
        <v>45806</v>
      </c>
      <c r="C171" s="1">
        <v>45826</v>
      </c>
      <c r="D171" t="str">
        <f>TEXT(OrdersYigaelIsrael[[#This Row],[Sell Date]],"yyyy-mm")</f>
        <v>2025-06</v>
      </c>
      <c r="E171" s="2">
        <v>29770</v>
      </c>
      <c r="F171" s="2">
        <v>30030</v>
      </c>
      <c r="G171" s="21">
        <v>839</v>
      </c>
      <c r="H171">
        <f>OrdersYigaelIsrael[[#This Row],[Buy Price]]*OrdersYigaelIsrael[[#This Row],[Amount]]/100</f>
        <v>249770.3</v>
      </c>
      <c r="I171">
        <f>OrdersYigaelIsrael[[#This Row],[Sell Price]]*OrdersYigaelIsrael[[#This Row],[Amount]]/100</f>
        <v>251951.7</v>
      </c>
      <c r="J171">
        <f>(OrdersYigaelIsrael[[#This Row],[Buy Value]]+OrdersYigaelIsrael[[#This Row],[Sell Value]])*0.0007</f>
        <v>351.2054</v>
      </c>
      <c r="K171" s="19">
        <f>(OrdersYigaelIsrael[[#This Row],[Sell Value]]-OrdersYigaelIsrael[[#This Row],[Buy Value]]-OrdersYigaelIsrael[[#This Row],[Commission]]+OrdersYigaelIsrael[[#This Row],[Dividand]])/OrdersYigaelIsrael[[#This Row],[Buy Value]]</f>
        <v>7.3275109170306612E-3</v>
      </c>
      <c r="M171">
        <f>OrdersYigaelIsrael[[#This Row],[Sell Value]]-OrdersYigaelIsrael[[#This Row],[Buy Value]]+OrdersYigaelIsrael[[#This Row],[Dividand]]-OrdersYigaelIsrael[[#This Row],[Commission]]</f>
        <v>1830.1946000000232</v>
      </c>
      <c r="N171">
        <f>SUM(INDEX(OrdersYigaelIsrael[P&amp;L],1):OrdersYigaelIsrael[[#This Row],[P&amp;L]])</f>
        <v>159190.59366724439</v>
      </c>
    </row>
    <row r="172" spans="1:17" x14ac:dyDescent="0.25">
      <c r="A172" t="s">
        <v>20</v>
      </c>
      <c r="B172" s="1">
        <v>45820</v>
      </c>
      <c r="C172" s="1">
        <v>45824</v>
      </c>
      <c r="D172" t="str">
        <f>TEXT(OrdersYigaelIsrael[[#This Row],[Sell Date]],"yyyy-mm")</f>
        <v>2025-06</v>
      </c>
      <c r="E172" s="2">
        <v>7660</v>
      </c>
      <c r="F172" s="2">
        <v>7812</v>
      </c>
      <c r="G172" s="21">
        <v>4177</v>
      </c>
      <c r="H172">
        <f>OrdersYigaelIsrael[[#This Row],[Buy Price]]*OrdersYigaelIsrael[[#This Row],[Amount]]/100</f>
        <v>319958.2</v>
      </c>
      <c r="I172">
        <f>OrdersYigaelIsrael[[#This Row],[Sell Price]]*OrdersYigaelIsrael[[#This Row],[Amount]]/100</f>
        <v>326307.24</v>
      </c>
      <c r="J172">
        <f>(OrdersYigaelIsrael[[#This Row],[Buy Value]]+OrdersYigaelIsrael[[#This Row],[Sell Value]])*0.0007</f>
        <v>452.38580799999994</v>
      </c>
      <c r="K172" s="19">
        <f>(OrdersYigaelIsrael[[#This Row],[Sell Value]]-OrdersYigaelIsrael[[#This Row],[Buy Value]]-OrdersYigaelIsrael[[#This Row],[Commission]]+OrdersYigaelIsrael[[#This Row],[Dividand]])/OrdersYigaelIsrael[[#This Row],[Buy Value]]</f>
        <v>1.8429451697127872E-2</v>
      </c>
      <c r="M172">
        <f>OrdersYigaelIsrael[[#This Row],[Sell Value]]-OrdersYigaelIsrael[[#This Row],[Buy Value]]+OrdersYigaelIsrael[[#This Row],[Dividand]]-OrdersYigaelIsrael[[#This Row],[Commission]]</f>
        <v>5896.654191999979</v>
      </c>
      <c r="N172">
        <f>SUM(INDEX(OrdersYigaelIsrael[P&amp;L],1):OrdersYigaelIsrael[[#This Row],[P&amp;L]])</f>
        <v>165087.24785924438</v>
      </c>
    </row>
    <row r="173" spans="1:17" x14ac:dyDescent="0.25">
      <c r="A173" t="s">
        <v>39</v>
      </c>
      <c r="B173" s="1">
        <v>45824</v>
      </c>
      <c r="C173" s="1">
        <v>45825</v>
      </c>
      <c r="D173" t="str">
        <f>TEXT(OrdersYigaelIsrael[[#This Row],[Sell Date]],"yyyy-mm")</f>
        <v>2025-06</v>
      </c>
      <c r="E173" s="2">
        <v>20729.403999999999</v>
      </c>
      <c r="F173" s="2">
        <v>21140</v>
      </c>
      <c r="G173" s="21">
        <v>1594</v>
      </c>
      <c r="H173">
        <f>OrdersYigaelIsrael[[#This Row],[Buy Price]]*OrdersYigaelIsrael[[#This Row],[Amount]]/100</f>
        <v>330426.69975999999</v>
      </c>
      <c r="I173">
        <f>OrdersYigaelIsrael[[#This Row],[Sell Price]]*OrdersYigaelIsrael[[#This Row],[Amount]]/100</f>
        <v>336971.6</v>
      </c>
      <c r="J173">
        <f>(OrdersYigaelIsrael[[#This Row],[Buy Value]]+OrdersYigaelIsrael[[#This Row],[Sell Value]])*0.0007</f>
        <v>467.17880983199996</v>
      </c>
      <c r="K173" s="19">
        <f>(OrdersYigaelIsrael[[#This Row],[Sell Value]]-OrdersYigaelIsrael[[#This Row],[Buy Value]]-OrdersYigaelIsrael[[#This Row],[Commission]]+OrdersYigaelIsrael[[#This Row],[Dividand]])/OrdersYigaelIsrael[[#This Row],[Buy Value]]</f>
        <v>1.8393554257517451E-2</v>
      </c>
      <c r="M173">
        <f>OrdersYigaelIsrael[[#This Row],[Sell Value]]-OrdersYigaelIsrael[[#This Row],[Buy Value]]+OrdersYigaelIsrael[[#This Row],[Dividand]]-OrdersYigaelIsrael[[#This Row],[Commission]]</f>
        <v>6077.7214301679878</v>
      </c>
      <c r="N173">
        <f>SUM(INDEX(OrdersYigaelIsrael[P&amp;L],1):OrdersYigaelIsrael[[#This Row],[P&amp;L]])</f>
        <v>171164.96928941237</v>
      </c>
    </row>
    <row r="174" spans="1:17" x14ac:dyDescent="0.25">
      <c r="A174" t="s">
        <v>17</v>
      </c>
      <c r="B174" s="1">
        <v>45827</v>
      </c>
      <c r="C174" s="1">
        <v>45830</v>
      </c>
      <c r="D174" t="str">
        <f>TEXT(OrdersYigaelIsrael[[#This Row],[Sell Date]],"yyyy-mm")</f>
        <v>2025-06</v>
      </c>
      <c r="E174" s="2">
        <v>5940</v>
      </c>
      <c r="F174" s="2">
        <v>6060</v>
      </c>
      <c r="G174" s="21">
        <v>5054</v>
      </c>
      <c r="H174">
        <f>OrdersYigaelIsrael[[#This Row],[Buy Price]]*OrdersYigaelIsrael[[#This Row],[Amount]]/100</f>
        <v>300207.59999999998</v>
      </c>
      <c r="I174">
        <f>OrdersYigaelIsrael[[#This Row],[Sell Price]]*OrdersYigaelIsrael[[#This Row],[Amount]]/100</f>
        <v>306272.40000000002</v>
      </c>
      <c r="J174">
        <f>(OrdersYigaelIsrael[[#This Row],[Buy Value]]+OrdersYigaelIsrael[[#This Row],[Sell Value]])*0.0007</f>
        <v>424.536</v>
      </c>
      <c r="K174" s="19">
        <f>(OrdersYigaelIsrael[[#This Row],[Sell Value]]-OrdersYigaelIsrael[[#This Row],[Buy Value]]-OrdersYigaelIsrael[[#This Row],[Commission]]+OrdersYigaelIsrael[[#This Row],[Dividand]])/OrdersYigaelIsrael[[#This Row],[Buy Value]]</f>
        <v>1.8787878787878944E-2</v>
      </c>
      <c r="M174">
        <f>OrdersYigaelIsrael[[#This Row],[Sell Value]]-OrdersYigaelIsrael[[#This Row],[Buy Value]]+OrdersYigaelIsrael[[#This Row],[Dividand]]-OrdersYigaelIsrael[[#This Row],[Commission]]</f>
        <v>5640.2640000000465</v>
      </c>
      <c r="N174">
        <f>SUM(INDEX(OrdersYigaelIsrael[P&amp;L],1):OrdersYigaelIsrael[[#This Row],[P&amp;L]])</f>
        <v>176805.23328941243</v>
      </c>
    </row>
    <row r="175" spans="1:17" x14ac:dyDescent="0.25">
      <c r="A175" t="s">
        <v>106</v>
      </c>
      <c r="B175" s="1">
        <v>45827</v>
      </c>
      <c r="C175" s="1">
        <v>45830</v>
      </c>
      <c r="D175" t="str">
        <f>TEXT(OrdersYigaelIsrael[[#This Row],[Sell Date]],"yyyy-mm")</f>
        <v>2025-06</v>
      </c>
      <c r="E175" s="2">
        <v>12060</v>
      </c>
      <c r="F175" s="2">
        <v>12408</v>
      </c>
      <c r="G175" s="21">
        <v>2487</v>
      </c>
      <c r="H175">
        <f>OrdersYigaelIsrael[[#This Row],[Buy Price]]*OrdersYigaelIsrael[[#This Row],[Amount]]/100</f>
        <v>299932.2</v>
      </c>
      <c r="I175">
        <f>OrdersYigaelIsrael[[#This Row],[Sell Price]]*OrdersYigaelIsrael[[#This Row],[Amount]]/100</f>
        <v>308586.96000000002</v>
      </c>
      <c r="J175">
        <f>(OrdersYigaelIsrael[[#This Row],[Buy Value]]+OrdersYigaelIsrael[[#This Row],[Sell Value]])*0.0007</f>
        <v>425.96341200000001</v>
      </c>
      <c r="K175" s="19">
        <f>(OrdersYigaelIsrael[[#This Row],[Sell Value]]-OrdersYigaelIsrael[[#This Row],[Buy Value]]-OrdersYigaelIsrael[[#This Row],[Commission]]+OrdersYigaelIsrael[[#This Row],[Dividand]])/OrdersYigaelIsrael[[#This Row],[Buy Value]]</f>
        <v>2.7435522388059734E-2</v>
      </c>
      <c r="M175">
        <f>OrdersYigaelIsrael[[#This Row],[Sell Value]]-OrdersYigaelIsrael[[#This Row],[Buy Value]]+OrdersYigaelIsrael[[#This Row],[Dividand]]-OrdersYigaelIsrael[[#This Row],[Commission]]</f>
        <v>8228.7965880000102</v>
      </c>
      <c r="N175">
        <f>SUM(INDEX(OrdersYigaelIsrael[P&amp;L],1):OrdersYigaelIsrael[[#This Row],[P&amp;L]])</f>
        <v>185034.02987741242</v>
      </c>
    </row>
    <row r="176" spans="1:17" x14ac:dyDescent="0.25">
      <c r="A176" t="s">
        <v>42</v>
      </c>
      <c r="B176" s="1">
        <v>45830</v>
      </c>
      <c r="C176" s="1"/>
      <c r="D176" t="str">
        <f>TEXT(OrdersYigaelIsrael[[#This Row],[Sell Date]],"yyyy-mm")</f>
        <v>1900-01</v>
      </c>
      <c r="E176" s="2">
        <v>52840</v>
      </c>
      <c r="G176" s="21">
        <v>48</v>
      </c>
      <c r="H176">
        <f>OrdersYigaelIsrael[[#This Row],[Buy Price]]*OrdersYigaelIsrael[[#This Row],[Amount]]/100</f>
        <v>25363.200000000001</v>
      </c>
      <c r="J176">
        <f>(OrdersYigaelIsrael[[#This Row],[Buy Value]]+OrdersYigaelIsrael[[#This Row],[Sell Value]])*0.0007</f>
        <v>17.754239999999999</v>
      </c>
      <c r="K176" s="19"/>
    </row>
    <row r="177" spans="1:14" x14ac:dyDescent="0.25">
      <c r="A177" t="s">
        <v>25</v>
      </c>
      <c r="B177" s="1">
        <v>45831</v>
      </c>
      <c r="C177" s="1">
        <v>45834</v>
      </c>
      <c r="D177" t="str">
        <f>TEXT(OrdersYigaelIsrael[[#This Row],[Sell Date]],"yyyy-mm")</f>
        <v>2025-06</v>
      </c>
      <c r="E177" s="2">
        <v>6420</v>
      </c>
      <c r="F177" s="2">
        <v>6180.4369999999999</v>
      </c>
      <c r="G177" s="21">
        <v>4687</v>
      </c>
      <c r="H177">
        <f>OrdersYigaelIsrael[[#This Row],[Buy Price]]*OrdersYigaelIsrael[[#This Row],[Amount]]/100</f>
        <v>300905.40000000002</v>
      </c>
      <c r="I177">
        <f>OrdersYigaelIsrael[[#This Row],[Sell Price]]*OrdersYigaelIsrael[[#This Row],[Amount]]/100</f>
        <v>289677.08218999999</v>
      </c>
      <c r="J177">
        <f>(OrdersYigaelIsrael[[#This Row],[Buy Value]]+OrdersYigaelIsrael[[#This Row],[Sell Value]])*0.0007</f>
        <v>413.40773753299999</v>
      </c>
      <c r="K177" s="19">
        <f>(OrdersYigaelIsrael[[#This Row],[Sell Value]]-OrdersYigaelIsrael[[#This Row],[Buy Value]]-OrdersYigaelIsrael[[#This Row],[Commission]]+OrdersYigaelIsrael[[#This Row],[Dividand]])/OrdersYigaelIsrael[[#This Row],[Buy Value]]</f>
        <v>-3.8688988457944044E-2</v>
      </c>
      <c r="M177">
        <f>OrdersYigaelIsrael[[#This Row],[Sell Value]]-OrdersYigaelIsrael[[#This Row],[Buy Value]]+OrdersYigaelIsrael[[#This Row],[Dividand]]-OrdersYigaelIsrael[[#This Row],[Commission]]</f>
        <v>-11641.725547533037</v>
      </c>
      <c r="N177">
        <f>SUM(INDEX(OrdersYigaelIsrael[P&amp;L],1):OrdersYigaelIsrael[[#This Row],[P&amp;L]])</f>
        <v>173392.30432987938</v>
      </c>
    </row>
    <row r="178" spans="1:14" x14ac:dyDescent="0.25">
      <c r="A178" t="s">
        <v>35</v>
      </c>
      <c r="B178" s="1">
        <v>45831</v>
      </c>
      <c r="C178" s="1">
        <v>45834</v>
      </c>
      <c r="D178" s="22" t="str">
        <f>TEXT(OrdersYigaelIsrael[[#This Row],[Sell Date]],"yyyy-mm")</f>
        <v>2025-06</v>
      </c>
      <c r="E178" s="2">
        <v>5968.9759999999997</v>
      </c>
      <c r="F178" s="2">
        <v>5784.9489999999996</v>
      </c>
      <c r="G178" s="23">
        <v>5022</v>
      </c>
      <c r="H178">
        <f>OrdersYigaelIsrael[[#This Row],[Buy Price]]*OrdersYigaelIsrael[[#This Row],[Amount]]/100</f>
        <v>299761.97472</v>
      </c>
      <c r="I178">
        <f>OrdersYigaelIsrael[[#This Row],[Sell Price]]*OrdersYigaelIsrael[[#This Row],[Amount]]/100</f>
        <v>290520.13877999998</v>
      </c>
      <c r="J178" s="22">
        <f>(OrdersYigaelIsrael[[#This Row],[Buy Value]]+OrdersYigaelIsrael[[#This Row],[Sell Value]])*0.0007</f>
        <v>413.19747945</v>
      </c>
      <c r="K178" s="19">
        <f>(OrdersYigaelIsrael[[#This Row],[Sell Value]]-OrdersYigaelIsrael[[#This Row],[Buy Value]]-OrdersYigaelIsrael[[#This Row],[Commission]]+OrdersYigaelIsrael[[#This Row],[Dividand]])/OrdersYigaelIsrael[[#This Row],[Buy Value]]</f>
        <v>-3.2208999918914127E-2</v>
      </c>
      <c r="M178">
        <f>OrdersYigaelIsrael[[#This Row],[Sell Value]]-OrdersYigaelIsrael[[#This Row],[Buy Value]]+OrdersYigaelIsrael[[#This Row],[Dividand]]-OrdersYigaelIsrael[[#This Row],[Commission]]</f>
        <v>-9655.0334194500192</v>
      </c>
      <c r="N178" s="22">
        <f>SUM(INDEX(OrdersYigaelIsrael[P&amp;L],1):OrdersYigaelIsrael[[#This Row],[P&amp;L]])</f>
        <v>163737.27091042936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B955-AA63-47E3-8435-4509E241C556}">
  <dimension ref="A1:T81"/>
  <sheetViews>
    <sheetView workbookViewId="0">
      <pane ySplit="1" topLeftCell="A37" activePane="bottomLeft" state="frozen"/>
      <selection pane="bottomLeft" activeCell="P58" sqref="P58"/>
    </sheetView>
  </sheetViews>
  <sheetFormatPr defaultRowHeight="15" x14ac:dyDescent="0.25"/>
  <cols>
    <col min="1" max="1" width="8" customWidth="1"/>
    <col min="2" max="2" width="14.5703125" customWidth="1"/>
    <col min="3" max="3" width="12.140625" bestFit="1" customWidth="1"/>
    <col min="4" max="4" width="11.85546875" bestFit="1" customWidth="1"/>
    <col min="5" max="6" width="11.28515625" customWidth="1"/>
    <col min="7" max="7" width="17.28515625" customWidth="1"/>
    <col min="8" max="9" width="12" customWidth="1"/>
    <col min="10" max="10" width="11" customWidth="1"/>
    <col min="11" max="11" width="20" customWidth="1"/>
    <col min="12" max="12" width="15.5703125" bestFit="1" customWidth="1"/>
    <col min="13" max="13" width="15.7109375" bestFit="1" customWidth="1"/>
    <col min="14" max="14" width="9.28515625" bestFit="1" customWidth="1"/>
    <col min="17" max="17" width="16.28515625" bestFit="1" customWidth="1"/>
    <col min="18" max="18" width="24.42578125" customWidth="1"/>
    <col min="19" max="19" width="28.28515625" bestFit="1" customWidth="1"/>
    <col min="20" max="20" width="11.85546875" bestFit="1" customWidth="1"/>
  </cols>
  <sheetData>
    <row r="1" spans="1:20" ht="15.75" x14ac:dyDescent="0.25">
      <c r="A1" s="6" t="s">
        <v>48</v>
      </c>
      <c r="B1" s="6" t="s">
        <v>49</v>
      </c>
      <c r="C1" s="6" t="s">
        <v>1</v>
      </c>
      <c r="D1" s="6" t="s">
        <v>2</v>
      </c>
      <c r="E1" s="7" t="s">
        <v>3</v>
      </c>
      <c r="F1" s="7" t="s">
        <v>4</v>
      </c>
      <c r="G1" s="7" t="s">
        <v>50</v>
      </c>
      <c r="H1" s="7" t="s">
        <v>51</v>
      </c>
      <c r="I1" s="6" t="s">
        <v>6</v>
      </c>
      <c r="J1" s="6" t="s">
        <v>7</v>
      </c>
      <c r="K1" s="6" t="s">
        <v>52</v>
      </c>
      <c r="L1" s="6" t="s">
        <v>10</v>
      </c>
      <c r="M1" s="6" t="s">
        <v>53</v>
      </c>
      <c r="N1" s="6" t="s">
        <v>54</v>
      </c>
      <c r="O1" s="6" t="s">
        <v>55</v>
      </c>
      <c r="P1" s="6"/>
      <c r="Q1" s="15">
        <f>Realized_Profit_Yigael_USA+Unreqlized_Profit_Yigael_USA</f>
        <v>27243.765539999993</v>
      </c>
      <c r="S1" s="15">
        <f>(Realized_and_Unrealized_Profit_Yigael_USA/Starting_cache_Yigael_USA)*100</f>
        <v>38.919665057142851</v>
      </c>
      <c r="T1" s="6"/>
    </row>
    <row r="2" spans="1:20" ht="17.25" x14ac:dyDescent="0.3">
      <c r="A2" s="8" t="str" cm="1">
        <f t="array" aca="1" ref="A2" ca="1">_FV(TableYigaelUSA[[#This Row],[Instrumant]],"Ticker symbol",TRUE)</f>
        <v>EXAS</v>
      </c>
      <c r="B2" s="9" t="e" vm="1">
        <v>#VALUE!</v>
      </c>
      <c r="C2" s="9">
        <v>45287</v>
      </c>
      <c r="D2" s="9">
        <v>45301</v>
      </c>
      <c r="E2" s="7">
        <v>75.191070999999994</v>
      </c>
      <c r="F2" s="7">
        <v>69.579700000000003</v>
      </c>
      <c r="G2" s="10" cm="1">
        <f t="array" aca="1" ref="G2" ca="1">_FV(TableYigaelUSA[[#This Row],[Instrumant]],"Price")</f>
        <v>51.92</v>
      </c>
      <c r="H2" s="6">
        <v>280</v>
      </c>
      <c r="I2" s="6">
        <f>TableYigaelUSA[[#This Row],[Buy Price]]*TableYigaelUSA[[#This Row],[Order ammount]]</f>
        <v>21053.499879999999</v>
      </c>
      <c r="J2" s="6">
        <f>TableYigaelUSA[[#This Row],[Sell Price]]*TableYigaelUSA[[#This Row],[Order ammount]]</f>
        <v>19482.315999999999</v>
      </c>
      <c r="K2" s="8">
        <f ca="1">TableYigaelUSA[[#This Row],[Current Price]]*TableYigaelUSA[[#This Row],[Order ammount]]</f>
        <v>14537.6</v>
      </c>
      <c r="L2" s="6"/>
      <c r="M2" s="7"/>
      <c r="N2" s="6">
        <f>TableYigaelUSA[[#This Row],[Sell Value]]-TableYigaelUSA[[#This Row],[Buy Value]] +TableYigaelUSA[[#This Row],[Dividand]]</f>
        <v>-1571.1838800000005</v>
      </c>
      <c r="O2" s="6"/>
      <c r="P2" s="6"/>
      <c r="Q2" t="s">
        <v>56</v>
      </c>
      <c r="S2" s="6" t="s">
        <v>14</v>
      </c>
    </row>
    <row r="3" spans="1:20" ht="17.25" x14ac:dyDescent="0.3">
      <c r="A3" s="8" t="str" cm="1">
        <f t="array" aca="1" ref="A3" ca="1">_FV(TableYigaelUSA[[#This Row],[Instrumant]],"Ticker symbol",TRUE)</f>
        <v>NVDA</v>
      </c>
      <c r="B3" s="9" t="e" vm="2">
        <v>#VALUE!</v>
      </c>
      <c r="C3" s="9">
        <v>45301</v>
      </c>
      <c r="D3" s="9">
        <v>45324</v>
      </c>
      <c r="E3" s="7">
        <v>543.30600000000004</v>
      </c>
      <c r="F3" s="7">
        <v>639</v>
      </c>
      <c r="G3" s="10" cm="1">
        <f t="array" aca="1" ref="G3" ca="1">_FV(TableYigaelUSA[[#This Row],[Instrumant]],"Price")</f>
        <v>154.31</v>
      </c>
      <c r="H3" s="6">
        <v>70</v>
      </c>
      <c r="I3" s="6">
        <f>TableYigaelUSA[[#This Row],[Buy Price]]*TableYigaelUSA[[#This Row],[Order ammount]]</f>
        <v>38031.420000000006</v>
      </c>
      <c r="J3" s="6">
        <f>TableYigaelUSA[[#This Row],[Sell Price]]*TableYigaelUSA[[#This Row],[Order ammount]]</f>
        <v>44730</v>
      </c>
      <c r="K3" s="8">
        <f ca="1">TableYigaelUSA[[#This Row],[Current Price]]*TableYigaelUSA[[#This Row],[Order ammount]]</f>
        <v>10801.7</v>
      </c>
      <c r="L3" s="6"/>
      <c r="M3" s="7"/>
      <c r="N3" s="6">
        <f>TableYigaelUSA[[#This Row],[Sell Value]]-TableYigaelUSA[[#This Row],[Buy Value]] +TableYigaelUSA[[#This Row],[Dividand]]</f>
        <v>6698.5799999999945</v>
      </c>
      <c r="O3" s="6"/>
      <c r="P3" s="6"/>
    </row>
    <row r="4" spans="1:20" ht="17.25" x14ac:dyDescent="0.3">
      <c r="A4" s="8" t="str" cm="1">
        <f t="array" aca="1" ref="A4" ca="1">_FV(TableYigaelUSA[[#This Row],[Instrumant]],"Ticker symbol",TRUE)</f>
        <v>ONON</v>
      </c>
      <c r="B4" s="9" t="e" vm="3">
        <v>#VALUE!</v>
      </c>
      <c r="C4" s="9">
        <v>45302</v>
      </c>
      <c r="D4" s="9">
        <v>45328</v>
      </c>
      <c r="E4" s="7">
        <v>28.449780000000001</v>
      </c>
      <c r="F4" s="7">
        <v>27.734999999999999</v>
      </c>
      <c r="G4" s="10" cm="1">
        <f t="array" aca="1" ref="G4" ca="1">_FV(TableYigaelUSA[[#This Row],[Instrumant]],"Price")</f>
        <v>51.48</v>
      </c>
      <c r="H4" s="6">
        <v>1180</v>
      </c>
      <c r="I4" s="6">
        <f>TableYigaelUSA[[#This Row],[Buy Price]]*TableYigaelUSA[[#This Row],[Order ammount]]</f>
        <v>33570.740400000002</v>
      </c>
      <c r="J4" s="6">
        <f>TableYigaelUSA[[#This Row],[Sell Price]]*TableYigaelUSA[[#This Row],[Order ammount]]</f>
        <v>32727.3</v>
      </c>
      <c r="K4" s="8">
        <f ca="1">TableYigaelUSA[[#This Row],[Current Price]]*TableYigaelUSA[[#This Row],[Order ammount]]</f>
        <v>60746.399999999994</v>
      </c>
      <c r="L4" s="6"/>
      <c r="M4" s="7"/>
      <c r="N4" s="6">
        <f>TableYigaelUSA[[#This Row],[Sell Value]]-TableYigaelUSA[[#This Row],[Buy Value]] +TableYigaelUSA[[#This Row],[Dividand]]</f>
        <v>-843.44040000000314</v>
      </c>
      <c r="O4" s="6"/>
      <c r="P4" s="6"/>
    </row>
    <row r="5" spans="1:20" ht="17.25" x14ac:dyDescent="0.3">
      <c r="A5" s="8" t="str" cm="1">
        <f t="array" aca="1" ref="A5" ca="1">_FV(TableYigaelUSA[[#This Row],[Instrumant]],"Ticker symbol",TRUE)</f>
        <v>TSEM</v>
      </c>
      <c r="B5" s="9" t="e" vm="4">
        <v>#VALUE!</v>
      </c>
      <c r="C5" s="9">
        <v>45289</v>
      </c>
      <c r="D5" s="9">
        <v>45328</v>
      </c>
      <c r="E5" s="7">
        <v>30.63</v>
      </c>
      <c r="F5" s="7">
        <v>28.81</v>
      </c>
      <c r="G5" s="10" cm="1">
        <f t="array" aca="1" ref="G5" ca="1">_FV(TableYigaelUSA[[#This Row],[Instrumant]],"Price")</f>
        <v>42.84</v>
      </c>
      <c r="H5" s="6">
        <v>750</v>
      </c>
      <c r="I5" s="6">
        <f>TableYigaelUSA[[#This Row],[Buy Price]]*TableYigaelUSA[[#This Row],[Order ammount]]</f>
        <v>22972.5</v>
      </c>
      <c r="J5" s="6">
        <f>TableYigaelUSA[[#This Row],[Sell Price]]*TableYigaelUSA[[#This Row],[Order ammount]]</f>
        <v>21607.5</v>
      </c>
      <c r="K5" s="8">
        <f ca="1">TableYigaelUSA[[#This Row],[Current Price]]*TableYigaelUSA[[#This Row],[Order ammount]]</f>
        <v>32130.000000000004</v>
      </c>
      <c r="L5" s="6"/>
      <c r="M5" s="7"/>
      <c r="N5" s="6">
        <f>TableYigaelUSA[[#This Row],[Sell Value]]-TableYigaelUSA[[#This Row],[Buy Value]] +TableYigaelUSA[[#This Row],[Dividand]]</f>
        <v>-1365</v>
      </c>
      <c r="O5" s="6"/>
      <c r="P5" s="6"/>
      <c r="Q5" s="6" t="s">
        <v>57</v>
      </c>
      <c r="R5" t="s">
        <v>58</v>
      </c>
    </row>
    <row r="6" spans="1:20" ht="17.25" x14ac:dyDescent="0.3">
      <c r="A6" s="8" t="str" cm="1">
        <f t="array" aca="1" ref="A6" ca="1">_FV(TableYigaelUSA[[#This Row],[Instrumant]],"Ticker symbol",TRUE)</f>
        <v>RBLX</v>
      </c>
      <c r="B6" s="9" t="e" vm="5">
        <v>#VALUE!</v>
      </c>
      <c r="C6" s="9">
        <v>45287</v>
      </c>
      <c r="D6" s="9">
        <v>45328</v>
      </c>
      <c r="E6" s="7">
        <v>46.674999999999997</v>
      </c>
      <c r="F6" s="7">
        <v>40.424999999999997</v>
      </c>
      <c r="G6" s="10" cm="1">
        <f t="array" aca="1" ref="G6" ca="1">_FV(TableYigaelUSA[[#This Row],[Instrumant]],"Price")</f>
        <v>102.84</v>
      </c>
      <c r="H6" s="6">
        <v>400</v>
      </c>
      <c r="I6" s="6">
        <f>TableYigaelUSA[[#This Row],[Buy Price]]*TableYigaelUSA[[#This Row],[Order ammount]]</f>
        <v>18670</v>
      </c>
      <c r="J6" s="6">
        <f>TableYigaelUSA[[#This Row],[Sell Price]]*TableYigaelUSA[[#This Row],[Order ammount]]</f>
        <v>16169.999999999998</v>
      </c>
      <c r="K6" s="8">
        <f ca="1">TableYigaelUSA[[#This Row],[Current Price]]*TableYigaelUSA[[#This Row],[Order ammount]]</f>
        <v>41136</v>
      </c>
      <c r="L6" s="6"/>
      <c r="M6" s="7"/>
      <c r="N6" s="6">
        <f>TableYigaelUSA[[#This Row],[Sell Value]]-TableYigaelUSA[[#This Row],[Buy Value]] +TableYigaelUSA[[#This Row],[Dividand]]</f>
        <v>-2500.0000000000018</v>
      </c>
      <c r="O6" s="6"/>
      <c r="P6" s="6"/>
      <c r="Q6" s="6">
        <f>SUM(TableYigaelUSA[Profit Loss on close])</f>
        <v>27243.765539999993</v>
      </c>
      <c r="R6" s="14">
        <f>SUMIF(TableYigaelUSA[Sell Date],"",TableYigaelUSA[Potential P&amp;L])</f>
        <v>0</v>
      </c>
    </row>
    <row r="7" spans="1:20" ht="17.25" x14ac:dyDescent="0.3">
      <c r="A7" s="8" t="str" cm="1">
        <f t="array" aca="1" ref="A7" ca="1">_FV(TableYigaelUSA[[#This Row],[Instrumant]],"Ticker symbol",TRUE)</f>
        <v>NVDA</v>
      </c>
      <c r="B7" s="9" t="e" vm="2">
        <v>#VALUE!</v>
      </c>
      <c r="C7" s="9">
        <v>45328</v>
      </c>
      <c r="D7" s="7">
        <v>45329</v>
      </c>
      <c r="E7" s="7">
        <v>674.92</v>
      </c>
      <c r="F7" s="7">
        <v>690.02828599999998</v>
      </c>
      <c r="G7" s="10" cm="1">
        <f t="array" aca="1" ref="G7" ca="1">_FV(TableYigaelUSA[[#This Row],[Instrumant]],"Price")</f>
        <v>154.31</v>
      </c>
      <c r="H7" s="6">
        <v>70</v>
      </c>
      <c r="I7" s="6">
        <f>TableYigaelUSA[[#This Row],[Buy Price]]*TableYigaelUSA[[#This Row],[Order ammount]]</f>
        <v>47244.399999999994</v>
      </c>
      <c r="J7" s="6">
        <f>TableYigaelUSA[[#This Row],[Sell Price]]*TableYigaelUSA[[#This Row],[Order ammount]]</f>
        <v>48301.980019999995</v>
      </c>
      <c r="K7" s="8">
        <f ca="1">TableYigaelUSA[[#This Row],[Current Price]]*TableYigaelUSA[[#This Row],[Order ammount]]</f>
        <v>10801.7</v>
      </c>
      <c r="L7" s="6"/>
      <c r="M7" s="7"/>
      <c r="N7" s="6">
        <f>TableYigaelUSA[[#This Row],[Sell Value]]-TableYigaelUSA[[#This Row],[Buy Value]] +TableYigaelUSA[[#This Row],[Dividand]]</f>
        <v>1057.5800200000012</v>
      </c>
      <c r="O7" s="6"/>
      <c r="P7" s="6"/>
      <c r="Q7" s="6"/>
      <c r="R7" s="6"/>
      <c r="S7" s="6"/>
      <c r="T7" s="6"/>
    </row>
    <row r="8" spans="1:20" ht="17.25" x14ac:dyDescent="0.3">
      <c r="A8" s="8" t="str" cm="1">
        <f t="array" aca="1" ref="A8" ca="1">_FV(TableYigaelUSA[[#This Row],[Instrumant]],"Ticker symbol",TRUE)</f>
        <v>NVDA</v>
      </c>
      <c r="B8" s="9" t="e" vm="2">
        <v>#VALUE!</v>
      </c>
      <c r="C8" s="9">
        <v>45328</v>
      </c>
      <c r="D8" s="7">
        <v>45334</v>
      </c>
      <c r="E8" s="7">
        <v>674.92</v>
      </c>
      <c r="F8" s="7">
        <v>740</v>
      </c>
      <c r="G8" s="10" cm="1">
        <f t="array" aca="1" ref="G8" ca="1">_FV(TableYigaelUSA[[#This Row],[Instrumant]],"Price")</f>
        <v>154.31</v>
      </c>
      <c r="H8" s="6">
        <v>103</v>
      </c>
      <c r="I8" s="6">
        <f>TableYigaelUSA[[#This Row],[Buy Price]]*TableYigaelUSA[[#This Row],[Order ammount]]</f>
        <v>69516.759999999995</v>
      </c>
      <c r="J8" s="6">
        <f>TableYigaelUSA[[#This Row],[Sell Price]]*TableYigaelUSA[[#This Row],[Order ammount]]</f>
        <v>76220</v>
      </c>
      <c r="K8" s="8">
        <f ca="1">TableYigaelUSA[[#This Row],[Current Price]]*TableYigaelUSA[[#This Row],[Order ammount]]</f>
        <v>15893.93</v>
      </c>
      <c r="L8" s="6"/>
      <c r="M8" s="7"/>
      <c r="N8" s="6">
        <f>TableYigaelUSA[[#This Row],[Sell Value]]-TableYigaelUSA[[#This Row],[Buy Value]] +TableYigaelUSA[[#This Row],[Dividand]]</f>
        <v>6703.2400000000052</v>
      </c>
      <c r="O8" s="6"/>
      <c r="P8" s="6"/>
      <c r="Q8" s="6" t="s">
        <v>59</v>
      </c>
      <c r="R8" s="6"/>
      <c r="S8" s="6"/>
      <c r="T8" s="6"/>
    </row>
    <row r="9" spans="1:20" ht="17.25" x14ac:dyDescent="0.3">
      <c r="A9" s="8" t="str" cm="1">
        <f t="array" aca="1" ref="A9" ca="1">_FV(TableYigaelUSA[[#This Row],[Instrumant]],"Ticker symbol",TRUE)</f>
        <v>PLTR</v>
      </c>
      <c r="B9" s="9" t="e" vm="6">
        <v>#VALUE!</v>
      </c>
      <c r="C9" s="9">
        <v>45336</v>
      </c>
      <c r="D9" s="9">
        <v>45336</v>
      </c>
      <c r="E9" s="7">
        <v>24.15</v>
      </c>
      <c r="F9" s="7">
        <v>25.204999999999998</v>
      </c>
      <c r="G9" s="8" cm="1">
        <f t="array" aca="1" ref="G9" ca="1">_FV(TableYigaelUSA[[#This Row],[Instrumant]],"Price")</f>
        <v>142.9</v>
      </c>
      <c r="H9" s="6">
        <v>1700</v>
      </c>
      <c r="I9" s="6">
        <f>TableYigaelUSA[[#This Row],[Buy Price]]*TableYigaelUSA[[#This Row],[Order ammount]]</f>
        <v>41055</v>
      </c>
      <c r="J9" s="6">
        <f>TableYigaelUSA[[#This Row],[Sell Price]]*TableYigaelUSA[[#This Row],[Order ammount]]</f>
        <v>42848.5</v>
      </c>
      <c r="K9" s="8">
        <f ca="1">TableYigaelUSA[[#This Row],[Current Price]]*TableYigaelUSA[[#This Row],[Order ammount]]</f>
        <v>242930</v>
      </c>
      <c r="L9" s="6"/>
      <c r="M9" s="7"/>
      <c r="N9" s="6">
        <f>TableYigaelUSA[[#This Row],[Sell Value]]-TableYigaelUSA[[#This Row],[Buy Value]] +TableYigaelUSA[[#This Row],[Dividand]]</f>
        <v>1793.5</v>
      </c>
      <c r="O9" s="6"/>
      <c r="P9" s="6"/>
      <c r="Q9" s="11">
        <f ca="1">Realized_and_Unrealized_Profit_Yigael_USA*USD_ILS_Price</f>
        <v>92536.174033163974</v>
      </c>
      <c r="R9" s="6"/>
      <c r="S9" s="6"/>
      <c r="T9" s="12"/>
    </row>
    <row r="10" spans="1:20" ht="15.75" x14ac:dyDescent="0.25">
      <c r="A10" s="8" t="str" cm="1">
        <f t="array" aca="1" ref="A10" ca="1">_FV(TableYigaelUSA[[#This Row],[Instrumant]],"Ticker symbol",TRUE)</f>
        <v>TSLA</v>
      </c>
      <c r="B10" s="9" t="e" vm="7">
        <v>#VALUE!</v>
      </c>
      <c r="C10" s="9">
        <v>45344</v>
      </c>
      <c r="D10" s="9">
        <v>45344</v>
      </c>
      <c r="E10" s="7">
        <v>192</v>
      </c>
      <c r="F10" s="7">
        <v>195.23</v>
      </c>
      <c r="G10" s="8" cm="1">
        <f t="array" aca="1" ref="G10" ca="1">_FV(TableYigaelUSA[[#This Row],[Instrumant]],"Price")</f>
        <v>327.55</v>
      </c>
      <c r="H10" s="6">
        <v>200</v>
      </c>
      <c r="I10" s="6">
        <f>TableYigaelUSA[[#This Row],[Buy Price]]*TableYigaelUSA[[#This Row],[Order ammount]]</f>
        <v>38400</v>
      </c>
      <c r="J10" s="6">
        <f>TableYigaelUSA[[#This Row],[Sell Price]]*TableYigaelUSA[[#This Row],[Order ammount]]</f>
        <v>39046</v>
      </c>
      <c r="K10" s="8">
        <f ca="1">TableYigaelUSA[[#This Row],[Current Price]]*TableYigaelUSA[[#This Row],[Order ammount]]</f>
        <v>65510</v>
      </c>
      <c r="L10" s="6"/>
      <c r="M10" s="7"/>
      <c r="N10" s="6">
        <f>TableYigaelUSA[[#This Row],[Sell Value]]-TableYigaelUSA[[#This Row],[Buy Value]] +TableYigaelUSA[[#This Row],[Dividand]]</f>
        <v>646</v>
      </c>
      <c r="O10" s="6"/>
      <c r="P10" s="6"/>
      <c r="Q10" s="6"/>
      <c r="R10" s="6"/>
      <c r="S10" s="6"/>
      <c r="T10" s="6"/>
    </row>
    <row r="11" spans="1:20" ht="15.75" x14ac:dyDescent="0.25">
      <c r="A11" s="8" t="str" cm="1">
        <f t="array" aca="1" ref="A11" ca="1">_FV(TableYigaelUSA[[#This Row],[Instrumant]],"Ticker symbol",TRUE)</f>
        <v>NVDA</v>
      </c>
      <c r="B11" s="9" t="e" vm="2">
        <v>#VALUE!</v>
      </c>
      <c r="C11" s="9">
        <v>45336</v>
      </c>
      <c r="D11" s="9">
        <v>45344</v>
      </c>
      <c r="E11" s="7">
        <v>724.5</v>
      </c>
      <c r="F11" s="7">
        <v>773</v>
      </c>
      <c r="G11" s="8" cm="1">
        <f t="array" aca="1" ref="G11" ca="1">_FV(TableYigaelUSA[[#This Row],[Instrumant]],"Price")</f>
        <v>154.31</v>
      </c>
      <c r="H11" s="6">
        <v>110</v>
      </c>
      <c r="I11" s="6">
        <f>TableYigaelUSA[[#This Row],[Buy Price]]*TableYigaelUSA[[#This Row],[Order ammount]]</f>
        <v>79695</v>
      </c>
      <c r="J11" s="6">
        <f>TableYigaelUSA[[#This Row],[Sell Price]]*TableYigaelUSA[[#This Row],[Order ammount]]</f>
        <v>85030</v>
      </c>
      <c r="K11" s="8">
        <f ca="1">TableYigaelUSA[[#This Row],[Current Price]]*TableYigaelUSA[[#This Row],[Order ammount]]</f>
        <v>16974.099999999999</v>
      </c>
      <c r="L11" s="6"/>
      <c r="M11" s="7"/>
      <c r="N11" s="6">
        <f>TableYigaelUSA[[#This Row],[Sell Value]]-TableYigaelUSA[[#This Row],[Buy Value]] +TableYigaelUSA[[#This Row],[Dividand]]</f>
        <v>5335</v>
      </c>
      <c r="O11" s="6"/>
      <c r="P11" s="6"/>
      <c r="Q11" s="6" t="s">
        <v>15</v>
      </c>
      <c r="R11" s="6"/>
      <c r="S11" s="6"/>
      <c r="T11" s="6"/>
    </row>
    <row r="12" spans="1:20" ht="15.75" x14ac:dyDescent="0.25">
      <c r="A12" s="6" t="str" cm="1">
        <f t="array" aca="1" ref="A12" ca="1">_FV(TableYigaelUSA[[#This Row],[Instrumant]],"Ticker symbol",TRUE)</f>
        <v>INTC</v>
      </c>
      <c r="B12" s="9" t="e" vm="8">
        <v>#VALUE!</v>
      </c>
      <c r="C12" s="9">
        <v>45345</v>
      </c>
      <c r="D12" s="9">
        <v>45348</v>
      </c>
      <c r="E12" s="7">
        <v>42.79</v>
      </c>
      <c r="F12" s="7">
        <v>43.27</v>
      </c>
      <c r="G12" s="8" cm="1">
        <f t="array" aca="1" ref="G12" ca="1">_FV(TableYigaelUSA[[#This Row],[Instrumant]],"Price")</f>
        <v>22.2</v>
      </c>
      <c r="H12" s="6">
        <v>1300</v>
      </c>
      <c r="I12" s="6">
        <f>TableYigaelUSA[[#This Row],[Buy Price]]*TableYigaelUSA[[#This Row],[Order ammount]]</f>
        <v>55627</v>
      </c>
      <c r="J12" s="6">
        <f>TableYigaelUSA[[#This Row],[Sell Price]]*TableYigaelUSA[[#This Row],[Order ammount]]</f>
        <v>56251.000000000007</v>
      </c>
      <c r="K12" s="8">
        <f ca="1">TableYigaelUSA[[#This Row],[Current Price]]*TableYigaelUSA[[#This Row],[Order ammount]]</f>
        <v>28860</v>
      </c>
      <c r="L12" s="6"/>
      <c r="M12" s="7"/>
      <c r="N12" s="6">
        <f>TableYigaelUSA[[#This Row],[Sell Value]]-TableYigaelUSA[[#This Row],[Buy Value]] +TableYigaelUSA[[#This Row],[Dividand]]</f>
        <v>624.00000000000728</v>
      </c>
      <c r="O12" s="6"/>
      <c r="P12" s="6"/>
      <c r="Q12" s="6">
        <v>70000</v>
      </c>
      <c r="R12" s="6"/>
      <c r="S12" s="6"/>
      <c r="T12" s="6"/>
    </row>
    <row r="13" spans="1:20" ht="15.75" x14ac:dyDescent="0.25">
      <c r="A13" s="6" t="str" cm="1">
        <f t="array" aca="1" ref="A13" ca="1">_FV(TableYigaelUSA[[#This Row],[Instrumant]],"Ticker symbol",TRUE)</f>
        <v>AMD</v>
      </c>
      <c r="B13" s="9" t="e" vm="9">
        <v>#VALUE!</v>
      </c>
      <c r="C13" s="9">
        <v>45345</v>
      </c>
      <c r="D13" s="9">
        <v>45351</v>
      </c>
      <c r="E13" s="7">
        <v>176.33</v>
      </c>
      <c r="F13" s="7">
        <v>190.2</v>
      </c>
      <c r="G13" s="8" cm="1">
        <f t="array" aca="1" ref="G13" ca="1">_FV(TableYigaelUSA[[#This Row],[Instrumant]],"Price")</f>
        <v>143.4</v>
      </c>
      <c r="H13" s="6">
        <v>200</v>
      </c>
      <c r="I13" s="6">
        <f>TableYigaelUSA[[#This Row],[Buy Price]]*TableYigaelUSA[[#This Row],[Order ammount]]</f>
        <v>35266</v>
      </c>
      <c r="J13" s="6">
        <f>TableYigaelUSA[[#This Row],[Sell Price]]*TableYigaelUSA[[#This Row],[Order ammount]]</f>
        <v>38040</v>
      </c>
      <c r="K13" s="8">
        <f ca="1">TableYigaelUSA[[#This Row],[Current Price]]*TableYigaelUSA[[#This Row],[Order ammount]]</f>
        <v>28680</v>
      </c>
      <c r="L13" s="6"/>
      <c r="M13" s="7"/>
      <c r="N13" s="6">
        <f>TableYigaelUSA[[#This Row],[Sell Value]]-TableYigaelUSA[[#This Row],[Buy Value]] +TableYigaelUSA[[#This Row],[Dividand]]</f>
        <v>2774</v>
      </c>
      <c r="O13" s="6"/>
      <c r="P13" s="6"/>
      <c r="Q13" s="6"/>
      <c r="R13" s="6"/>
      <c r="S13" s="6" t="s">
        <v>60</v>
      </c>
      <c r="T13" s="6"/>
    </row>
    <row r="14" spans="1:20" ht="15.75" x14ac:dyDescent="0.25">
      <c r="A14" s="8" t="str" cm="1">
        <f t="array" aca="1" ref="A14" ca="1">_FV(TableYigaelUSA[[#This Row],[Instrumant]],"Ticker symbol",TRUE)</f>
        <v>TSM</v>
      </c>
      <c r="B14" s="9" t="e" vm="10">
        <v>#VALUE!</v>
      </c>
      <c r="C14" s="9">
        <v>45337</v>
      </c>
      <c r="D14" s="9">
        <v>45352</v>
      </c>
      <c r="E14" s="7">
        <v>130.80000000000001</v>
      </c>
      <c r="F14" s="7">
        <v>133.75</v>
      </c>
      <c r="G14" s="8" cm="1">
        <f t="array" aca="1" ref="G14" ca="1">_FV(TableYigaelUSA[[#This Row],[Instrumant]],"Price")</f>
        <v>222.74</v>
      </c>
      <c r="H14" s="6">
        <v>423</v>
      </c>
      <c r="I14" s="6">
        <f>TableYigaelUSA[[#This Row],[Buy Price]]*TableYigaelUSA[[#This Row],[Order ammount]]</f>
        <v>55328.4</v>
      </c>
      <c r="J14" s="6">
        <f>TableYigaelUSA[[#This Row],[Sell Price]]*TableYigaelUSA[[#This Row],[Order ammount]]</f>
        <v>56576.25</v>
      </c>
      <c r="K14" s="8">
        <f ca="1">TableYigaelUSA[[#This Row],[Current Price]]*TableYigaelUSA[[#This Row],[Order ammount]]</f>
        <v>94219.02</v>
      </c>
      <c r="L14" s="6"/>
      <c r="M14" s="7"/>
      <c r="N14" s="6">
        <f>TableYigaelUSA[[#This Row],[Sell Value]]-TableYigaelUSA[[#This Row],[Buy Value]] +TableYigaelUSA[[#This Row],[Dividand]]</f>
        <v>1247.8499999999985</v>
      </c>
      <c r="O14" s="6"/>
      <c r="P14" s="6"/>
      <c r="Q14" s="6"/>
      <c r="R14" s="6"/>
      <c r="S14">
        <f>Realized_and_Unrealized_Profit_Yigael_USA*0.75</f>
        <v>20432.824154999995</v>
      </c>
      <c r="T14" s="6"/>
    </row>
    <row r="15" spans="1:20" ht="15.75" x14ac:dyDescent="0.25">
      <c r="A15" s="8" t="str" cm="1">
        <f t="array" aca="1" ref="A15" ca="1">_FV(TableYigaelUSA[[#This Row],[Instrumant]],"Ticker symbol",TRUE)</f>
        <v>SMCI</v>
      </c>
      <c r="B15" s="9" t="e" vm="11">
        <v>#VALUE!</v>
      </c>
      <c r="C15" s="9">
        <v>45345</v>
      </c>
      <c r="D15" s="9">
        <v>45352</v>
      </c>
      <c r="E15" s="7">
        <v>854.5</v>
      </c>
      <c r="F15" s="7">
        <v>919.33</v>
      </c>
      <c r="G15" s="8" cm="1">
        <f t="array" aca="1" ref="G15" ca="1">_FV(TableYigaelUSA[[#This Row],[Instrumant]],"Price")</f>
        <v>46.61</v>
      </c>
      <c r="H15" s="6">
        <v>30</v>
      </c>
      <c r="I15" s="6">
        <f>TableYigaelUSA[[#This Row],[Buy Price]]*TableYigaelUSA[[#This Row],[Order ammount]]</f>
        <v>25635</v>
      </c>
      <c r="J15" s="6">
        <f>TableYigaelUSA[[#This Row],[Sell Price]]*TableYigaelUSA[[#This Row],[Order ammount]]</f>
        <v>27579.9</v>
      </c>
      <c r="K15" s="8">
        <f ca="1">TableYigaelUSA[[#This Row],[Current Price]]*TableYigaelUSA[[#This Row],[Order ammount]]</f>
        <v>1398.3</v>
      </c>
      <c r="L15" s="6"/>
      <c r="M15" s="7"/>
      <c r="N15" s="6">
        <f>TableYigaelUSA[[#This Row],[Sell Value]]-TableYigaelUSA[[#This Row],[Buy Value]] +TableYigaelUSA[[#This Row],[Dividand]]</f>
        <v>1944.9000000000015</v>
      </c>
      <c r="O15" s="6"/>
      <c r="P15" s="6"/>
      <c r="Q15" s="6"/>
      <c r="R15" s="6"/>
      <c r="S15" s="6"/>
      <c r="T15" s="6"/>
    </row>
    <row r="16" spans="1:20" ht="15.75" x14ac:dyDescent="0.25">
      <c r="A16" s="8" t="str" cm="1">
        <f t="array" aca="1" ref="A16" ca="1">_FV(TableYigaelUSA[[#This Row],[Instrumant]],"Ticker symbol",TRUE)</f>
        <v>SMCI</v>
      </c>
      <c r="B16" s="9" t="e" vm="11">
        <v>#VALUE!</v>
      </c>
      <c r="C16" s="9">
        <v>45345</v>
      </c>
      <c r="D16" s="9">
        <v>45355</v>
      </c>
      <c r="E16" s="7">
        <v>854.5</v>
      </c>
      <c r="F16" s="7">
        <v>1057</v>
      </c>
      <c r="G16" s="8" cm="1">
        <f t="array" aca="1" ref="G16" ca="1">_FV(TableYigaelUSA[[#This Row],[Instrumant]],"Price")</f>
        <v>46.61</v>
      </c>
      <c r="H16" s="6">
        <v>20</v>
      </c>
      <c r="I16" s="6">
        <f>TableYigaelUSA[[#This Row],[Buy Price]]*TableYigaelUSA[[#This Row],[Order ammount]]</f>
        <v>17090</v>
      </c>
      <c r="J16" s="6">
        <f>TableYigaelUSA[[#This Row],[Sell Price]]*TableYigaelUSA[[#This Row],[Order ammount]]</f>
        <v>21140</v>
      </c>
      <c r="K16" s="8">
        <f ca="1">TableYigaelUSA[[#This Row],[Current Price]]*TableYigaelUSA[[#This Row],[Order ammount]]</f>
        <v>932.2</v>
      </c>
      <c r="L16" s="6"/>
      <c r="M16" s="7"/>
      <c r="N16" s="6">
        <f>TableYigaelUSA[[#This Row],[Sell Value]]-TableYigaelUSA[[#This Row],[Buy Value]] +TableYigaelUSA[[#This Row],[Dividand]]</f>
        <v>4050</v>
      </c>
      <c r="O16" s="6"/>
      <c r="P16" s="6"/>
      <c r="Q16" s="6"/>
      <c r="R16" s="6"/>
      <c r="S16" s="6"/>
      <c r="T16" s="6"/>
    </row>
    <row r="17" spans="1:20" ht="15.75" x14ac:dyDescent="0.25">
      <c r="A17" s="6" t="str" cm="1">
        <f t="array" aca="1" ref="A17" ca="1">_FV(TableYigaelUSA[[#This Row],[Instrumant]],"Ticker symbol",TRUE)</f>
        <v>SMCI</v>
      </c>
      <c r="B17" s="9" t="e" vm="11">
        <v>#VALUE!</v>
      </c>
      <c r="C17" s="9">
        <v>45356</v>
      </c>
      <c r="D17" s="9">
        <v>45356</v>
      </c>
      <c r="E17" s="7">
        <v>998</v>
      </c>
      <c r="F17" s="7">
        <v>1055</v>
      </c>
      <c r="G17" s="8" cm="1">
        <f t="array" aca="1" ref="G17" ca="1">_FV(TableYigaelUSA[[#This Row],[Instrumant]],"Price")</f>
        <v>46.61</v>
      </c>
      <c r="H17" s="6">
        <v>40</v>
      </c>
      <c r="I17" s="6">
        <f>TableYigaelUSA[[#This Row],[Buy Price]]*TableYigaelUSA[[#This Row],[Order ammount]]</f>
        <v>39920</v>
      </c>
      <c r="J17" s="6">
        <f>TableYigaelUSA[[#This Row],[Sell Price]]*TableYigaelUSA[[#This Row],[Order ammount]]</f>
        <v>42200</v>
      </c>
      <c r="K17" s="8">
        <f ca="1">TableYigaelUSA[[#This Row],[Current Price]]*TableYigaelUSA[[#This Row],[Order ammount]]</f>
        <v>1864.4</v>
      </c>
      <c r="L17" s="6"/>
      <c r="M17" s="7"/>
      <c r="N17" s="6">
        <f>TableYigaelUSA[[#This Row],[Sell Value]]-TableYigaelUSA[[#This Row],[Buy Value]] +TableYigaelUSA[[#This Row],[Dividand]]</f>
        <v>2280</v>
      </c>
      <c r="O17" s="6"/>
      <c r="P17" s="6"/>
      <c r="Q17" s="6" t="e" vm="12">
        <v>#VALUE!</v>
      </c>
      <c r="R17" s="6" cm="1">
        <f t="array" aca="1" ref="R17" ca="1">_FV(USD_NIS,"Price",TRUE)</f>
        <v>3.3965999999999998</v>
      </c>
      <c r="S17" s="6"/>
      <c r="T17" s="6"/>
    </row>
    <row r="18" spans="1:20" ht="15.75" x14ac:dyDescent="0.25">
      <c r="A18" s="6" t="str" cm="1">
        <f t="array" aca="1" ref="A18" ca="1">_FV(TableYigaelUSA[[#This Row],[Instrumant]],"Ticker symbol",TRUE)</f>
        <v>SOUN</v>
      </c>
      <c r="B18" s="9" t="e" vm="13">
        <v>#VALUE!</v>
      </c>
      <c r="C18" s="9">
        <v>45356</v>
      </c>
      <c r="D18" s="9">
        <v>45358</v>
      </c>
      <c r="E18" s="7">
        <v>4.99</v>
      </c>
      <c r="F18" s="7">
        <v>5.39</v>
      </c>
      <c r="G18" s="8" cm="1">
        <f t="array" aca="1" ref="G18" ca="1">_FV(TableYigaelUSA[[#This Row],[Instrumant]],"Price")</f>
        <v>9.57</v>
      </c>
      <c r="H18" s="6">
        <v>6100</v>
      </c>
      <c r="I18" s="6">
        <f>TableYigaelUSA[[#This Row],[Buy Price]]*TableYigaelUSA[[#This Row],[Order ammount]]</f>
        <v>30439</v>
      </c>
      <c r="J18" s="6">
        <f>TableYigaelUSA[[#This Row],[Sell Price]]*TableYigaelUSA[[#This Row],[Order ammount]]</f>
        <v>32879</v>
      </c>
      <c r="K18" s="8">
        <f ca="1">TableYigaelUSA[[#This Row],[Current Price]]*TableYigaelUSA[[#This Row],[Order ammount]]</f>
        <v>58377</v>
      </c>
      <c r="L18" s="6"/>
      <c r="M18" s="7"/>
      <c r="N18" s="6">
        <f>TableYigaelUSA[[#This Row],[Sell Value]]-TableYigaelUSA[[#This Row],[Buy Value]] +TableYigaelUSA[[#This Row],[Dividand]]</f>
        <v>2440</v>
      </c>
      <c r="O18" s="6"/>
      <c r="P18" s="6"/>
      <c r="Q18" s="6"/>
      <c r="R18" s="6"/>
      <c r="S18" s="6"/>
      <c r="T18" s="6"/>
    </row>
    <row r="19" spans="1:20" ht="15.75" x14ac:dyDescent="0.25">
      <c r="A19" s="6" t="str" cm="1">
        <f t="array" aca="1" ref="A19" ca="1">_FV(TableYigaelUSA[[#This Row],[Instrumant]],"Ticker symbol",TRUE)</f>
        <v>SOUN</v>
      </c>
      <c r="B19" s="9" t="e" vm="13">
        <v>#VALUE!</v>
      </c>
      <c r="C19" s="9">
        <v>45358</v>
      </c>
      <c r="D19" s="9">
        <v>45358</v>
      </c>
      <c r="E19" s="7">
        <v>5.6070000000000002</v>
      </c>
      <c r="F19" s="7">
        <v>5.69</v>
      </c>
      <c r="G19" s="8" cm="1">
        <f t="array" aca="1" ref="G19" ca="1">_FV(TableYigaelUSA[[#This Row],[Instrumant]],"Price")</f>
        <v>9.57</v>
      </c>
      <c r="H19" s="6">
        <v>5400</v>
      </c>
      <c r="I19" s="6">
        <f>TableYigaelUSA[[#This Row],[Buy Price]]*TableYigaelUSA[[#This Row],[Order ammount]]</f>
        <v>30277.800000000003</v>
      </c>
      <c r="J19" s="6">
        <f>TableYigaelUSA[[#This Row],[Sell Price]]*TableYigaelUSA[[#This Row],[Order ammount]]</f>
        <v>30726.000000000004</v>
      </c>
      <c r="K19" s="8">
        <f ca="1">TableYigaelUSA[[#This Row],[Current Price]]*TableYigaelUSA[[#This Row],[Order ammount]]</f>
        <v>51678</v>
      </c>
      <c r="L19" s="6"/>
      <c r="M19" s="7"/>
      <c r="N19" s="6">
        <f>TableYigaelUSA[[#This Row],[Sell Value]]-TableYigaelUSA[[#This Row],[Buy Value]] +TableYigaelUSA[[#This Row],[Dividand]]</f>
        <v>448.20000000000073</v>
      </c>
      <c r="O19" s="6"/>
      <c r="P19" s="6"/>
      <c r="Q19" s="6"/>
      <c r="R19" s="6"/>
      <c r="S19" s="6"/>
      <c r="T19" s="6"/>
    </row>
    <row r="20" spans="1:20" ht="15.75" x14ac:dyDescent="0.25">
      <c r="A20" s="6" t="str" cm="1">
        <f t="array" aca="1" ref="A20" ca="1">_FV(TableYigaelUSA[[#This Row],[Instrumant]],"Ticker symbol",TRUE)</f>
        <v>PLTR</v>
      </c>
      <c r="B20" s="9" t="e" vm="6">
        <v>#VALUE!</v>
      </c>
      <c r="C20" s="9">
        <v>45352</v>
      </c>
      <c r="D20" s="9">
        <v>45358</v>
      </c>
      <c r="E20" s="7">
        <v>25.045000000000002</v>
      </c>
      <c r="F20" s="7">
        <v>27.48</v>
      </c>
      <c r="G20" s="8" cm="1">
        <f t="array" aca="1" ref="G20" ca="1">_FV(TableYigaelUSA[[#This Row],[Instrumant]],"Price")</f>
        <v>142.9</v>
      </c>
      <c r="H20" s="6">
        <v>1200</v>
      </c>
      <c r="I20" s="6">
        <f>TableYigaelUSA[[#This Row],[Buy Price]]*TableYigaelUSA[[#This Row],[Order ammount]]</f>
        <v>30054.000000000004</v>
      </c>
      <c r="J20" s="6">
        <f>TableYigaelUSA[[#This Row],[Sell Price]]*TableYigaelUSA[[#This Row],[Order ammount]]</f>
        <v>32976</v>
      </c>
      <c r="K20" s="8">
        <f ca="1">TableYigaelUSA[[#This Row],[Current Price]]*TableYigaelUSA[[#This Row],[Order ammount]]</f>
        <v>171480</v>
      </c>
      <c r="L20" s="6"/>
      <c r="M20" s="7"/>
      <c r="N20" s="6">
        <f>TableYigaelUSA[[#This Row],[Sell Value]]-TableYigaelUSA[[#This Row],[Buy Value]] +TableYigaelUSA[[#This Row],[Dividand]]</f>
        <v>2921.9999999999964</v>
      </c>
      <c r="O20" s="6"/>
      <c r="P20" s="6"/>
      <c r="R20" s="6"/>
      <c r="S20" s="6"/>
      <c r="T20" s="6"/>
    </row>
    <row r="21" spans="1:20" ht="15.75" x14ac:dyDescent="0.25">
      <c r="A21" s="6" t="str" cm="1">
        <f t="array" aca="1" ref="A21" ca="1">_FV(TableYigaelUSA[[#This Row],[Instrumant]],"Ticker symbol",TRUE)</f>
        <v>PLTR</v>
      </c>
      <c r="B21" s="9" t="e" vm="6">
        <v>#VALUE!</v>
      </c>
      <c r="C21" s="9">
        <v>45358</v>
      </c>
      <c r="D21" s="9">
        <v>45358</v>
      </c>
      <c r="E21" s="7">
        <v>26.69</v>
      </c>
      <c r="F21" s="7">
        <v>26.93</v>
      </c>
      <c r="G21" s="8" cm="1">
        <f t="array" aca="1" ref="G21" ca="1">_FV(TableYigaelUSA[[#This Row],[Instrumant]],"Price")</f>
        <v>142.9</v>
      </c>
      <c r="H21" s="6">
        <v>1200</v>
      </c>
      <c r="I21" s="6">
        <f>TableYigaelUSA[[#This Row],[Buy Price]]*TableYigaelUSA[[#This Row],[Order ammount]]</f>
        <v>32028</v>
      </c>
      <c r="J21" s="6">
        <f>TableYigaelUSA[[#This Row],[Sell Price]]*TableYigaelUSA[[#This Row],[Order ammount]]</f>
        <v>32316</v>
      </c>
      <c r="K21" s="8">
        <f ca="1">TableYigaelUSA[[#This Row],[Current Price]]*TableYigaelUSA[[#This Row],[Order ammount]]</f>
        <v>171480</v>
      </c>
      <c r="L21" s="6"/>
      <c r="M21" s="7"/>
      <c r="N21" s="6">
        <f>TableYigaelUSA[[#This Row],[Sell Value]]-TableYigaelUSA[[#This Row],[Buy Value]] +TableYigaelUSA[[#This Row],[Dividand]]</f>
        <v>288</v>
      </c>
      <c r="O21" s="6"/>
      <c r="P21" s="6"/>
      <c r="Q21" s="6"/>
      <c r="R21" s="6"/>
      <c r="S21" s="6"/>
      <c r="T21" s="6"/>
    </row>
    <row r="22" spans="1:20" ht="15.75" x14ac:dyDescent="0.25">
      <c r="A22" s="6" t="str" cm="1">
        <f t="array" aca="1" ref="A22" ca="1">_FV(TableYigaelUSA[[#This Row],[Instrumant]],"Ticker symbol",TRUE)</f>
        <v>PLTR</v>
      </c>
      <c r="B22" s="9" t="e" vm="6">
        <v>#VALUE!</v>
      </c>
      <c r="C22" s="9">
        <v>45358</v>
      </c>
      <c r="D22" s="9">
        <v>45358</v>
      </c>
      <c r="E22" s="7">
        <v>26.83</v>
      </c>
      <c r="F22" s="7">
        <v>27.08</v>
      </c>
      <c r="G22" s="8" cm="1">
        <f t="array" aca="1" ref="G22" ca="1">_FV(TableYigaelUSA[[#This Row],[Instrumant]],"Price")</f>
        <v>142.9</v>
      </c>
      <c r="H22" s="6">
        <v>1300</v>
      </c>
      <c r="I22" s="6">
        <f>TableYigaelUSA[[#This Row],[Buy Price]]*TableYigaelUSA[[#This Row],[Order ammount]]</f>
        <v>34879</v>
      </c>
      <c r="J22" s="6">
        <f>TableYigaelUSA[[#This Row],[Sell Price]]*TableYigaelUSA[[#This Row],[Order ammount]]</f>
        <v>35204</v>
      </c>
      <c r="K22" s="8">
        <f ca="1">TableYigaelUSA[[#This Row],[Current Price]]*TableYigaelUSA[[#This Row],[Order ammount]]</f>
        <v>185770</v>
      </c>
      <c r="L22" s="6"/>
      <c r="M22" s="7"/>
      <c r="N22" s="6">
        <f>TableYigaelUSA[[#This Row],[Sell Value]]-TableYigaelUSA[[#This Row],[Buy Value]] +TableYigaelUSA[[#This Row],[Dividand]]</f>
        <v>325</v>
      </c>
      <c r="O22" s="6"/>
      <c r="P22" s="6"/>
      <c r="Q22" s="6"/>
      <c r="R22" s="6"/>
      <c r="S22" s="6"/>
      <c r="T22" s="6"/>
    </row>
    <row r="23" spans="1:20" ht="15.75" x14ac:dyDescent="0.25">
      <c r="A23" s="6" t="str" cm="1">
        <f t="array" aca="1" ref="A23" ca="1">_FV(TableYigaelUSA[[#This Row],[Instrumant]],"Ticker symbol",TRUE)</f>
        <v>AMD</v>
      </c>
      <c r="B23" s="9" t="e" vm="9">
        <v>#VALUE!</v>
      </c>
      <c r="C23" s="9">
        <v>45358</v>
      </c>
      <c r="D23" s="9">
        <v>45359</v>
      </c>
      <c r="E23" s="7">
        <v>210.67</v>
      </c>
      <c r="F23" s="7">
        <v>222.66</v>
      </c>
      <c r="G23" s="8" cm="1">
        <f t="array" aca="1" ref="G23" ca="1">_FV(TableYigaelUSA[[#This Row],[Instrumant]],"Price")</f>
        <v>143.4</v>
      </c>
      <c r="H23" s="6">
        <v>150</v>
      </c>
      <c r="I23" s="6">
        <f>TableYigaelUSA[[#This Row],[Buy Price]]*TableYigaelUSA[[#This Row],[Order ammount]]</f>
        <v>31600.499999999996</v>
      </c>
      <c r="J23" s="6">
        <f>TableYigaelUSA[[#This Row],[Sell Price]]*TableYigaelUSA[[#This Row],[Order ammount]]</f>
        <v>33399</v>
      </c>
      <c r="K23" s="8">
        <f ca="1">TableYigaelUSA[[#This Row],[Current Price]]*TableYigaelUSA[[#This Row],[Order ammount]]</f>
        <v>21510</v>
      </c>
      <c r="L23" s="6"/>
      <c r="M23" s="7"/>
      <c r="N23" s="6">
        <f>TableYigaelUSA[[#This Row],[Sell Value]]-TableYigaelUSA[[#This Row],[Buy Value]] +TableYigaelUSA[[#This Row],[Dividand]]</f>
        <v>1798.5000000000036</v>
      </c>
      <c r="O23" s="6"/>
      <c r="P23" s="6"/>
      <c r="Q23" s="6"/>
      <c r="R23" s="6"/>
      <c r="S23" s="6"/>
      <c r="T23" s="6"/>
    </row>
    <row r="24" spans="1:20" ht="15.75" x14ac:dyDescent="0.25">
      <c r="A24" s="6" t="str" cm="1">
        <f t="array" aca="1" ref="A24" ca="1">_FV(TableYigaelUSA[[#This Row],[Instrumant]],"Ticker symbol",TRUE)</f>
        <v>NFLX</v>
      </c>
      <c r="B24" s="9" t="e" vm="14">
        <v>#VALUE!</v>
      </c>
      <c r="C24" s="9">
        <v>45352</v>
      </c>
      <c r="D24" s="9">
        <v>45359</v>
      </c>
      <c r="E24" s="7">
        <v>605.42999999999995</v>
      </c>
      <c r="F24" s="7">
        <v>605.41999999999996</v>
      </c>
      <c r="G24" s="8" cm="1">
        <f t="array" aca="1" ref="G24" ca="1">_FV(TableYigaelUSA[[#This Row],[Instrumant]],"Price")</f>
        <v>1275.25</v>
      </c>
      <c r="H24" s="6">
        <v>50</v>
      </c>
      <c r="I24" s="6">
        <f>TableYigaelUSA[[#This Row],[Buy Price]]*TableYigaelUSA[[#This Row],[Order ammount]]</f>
        <v>30271.499999999996</v>
      </c>
      <c r="J24" s="6">
        <f>TableYigaelUSA[[#This Row],[Sell Price]]*TableYigaelUSA[[#This Row],[Order ammount]]</f>
        <v>30270.999999999996</v>
      </c>
      <c r="K24" s="8">
        <f ca="1">TableYigaelUSA[[#This Row],[Current Price]]*TableYigaelUSA[[#This Row],[Order ammount]]</f>
        <v>63762.5</v>
      </c>
      <c r="L24" s="6"/>
      <c r="M24" s="7"/>
      <c r="N24" s="6">
        <f>TableYigaelUSA[[#This Row],[Sell Value]]-TableYigaelUSA[[#This Row],[Buy Value]] +TableYigaelUSA[[#This Row],[Dividand]]</f>
        <v>-0.5</v>
      </c>
      <c r="O24" s="6"/>
      <c r="P24" s="6"/>
      <c r="Q24" s="6"/>
      <c r="R24" s="6"/>
      <c r="S24" s="6"/>
      <c r="T24" s="6"/>
    </row>
    <row r="25" spans="1:20" ht="15.75" x14ac:dyDescent="0.25">
      <c r="A25" s="6" t="str" cm="1">
        <f t="array" aca="1" ref="A25" ca="1">_FV(TableYigaelUSA[[#This Row],[Instrumant]],"Ticker symbol",TRUE)</f>
        <v>NVDA</v>
      </c>
      <c r="B25" s="9" t="e" vm="2">
        <v>#VALUE!</v>
      </c>
      <c r="C25" s="9">
        <v>45355</v>
      </c>
      <c r="D25" s="9">
        <v>45359</v>
      </c>
      <c r="E25" s="7">
        <v>840.59</v>
      </c>
      <c r="F25" s="7">
        <v>973.25</v>
      </c>
      <c r="G25" s="8" cm="1">
        <f t="array" aca="1" ref="G25" ca="1">_FV(TableYigaelUSA[[#This Row],[Instrumant]],"Price")</f>
        <v>154.31</v>
      </c>
      <c r="H25" s="6">
        <v>40</v>
      </c>
      <c r="I25" s="6">
        <f>TableYigaelUSA[[#This Row],[Buy Price]]*TableYigaelUSA[[#This Row],[Order ammount]]</f>
        <v>33623.599999999999</v>
      </c>
      <c r="J25" s="6">
        <f>TableYigaelUSA[[#This Row],[Sell Price]]*TableYigaelUSA[[#This Row],[Order ammount]]</f>
        <v>38930</v>
      </c>
      <c r="K25" s="8">
        <f ca="1">TableYigaelUSA[[#This Row],[Current Price]]*TableYigaelUSA[[#This Row],[Order ammount]]</f>
        <v>6172.4</v>
      </c>
      <c r="L25" s="6"/>
      <c r="M25" s="7"/>
      <c r="N25" s="6">
        <f>TableYigaelUSA[[#This Row],[Sell Value]]-TableYigaelUSA[[#This Row],[Buy Value]] +TableYigaelUSA[[#This Row],[Dividand]]</f>
        <v>5306.4000000000015</v>
      </c>
      <c r="O25" s="6"/>
      <c r="P25" s="6"/>
      <c r="Q25" s="6"/>
      <c r="R25" s="6"/>
      <c r="S25" s="6"/>
      <c r="T25" s="6"/>
    </row>
    <row r="26" spans="1:20" ht="15.75" x14ac:dyDescent="0.25">
      <c r="A26" s="6" t="str" cm="1">
        <f t="array" aca="1" ref="A26" ca="1">_FV(TableYigaelUSA[[#This Row],[Instrumant]],"Ticker symbol",TRUE)</f>
        <v>SOUN</v>
      </c>
      <c r="B26" s="9" t="e" vm="13">
        <v>#VALUE!</v>
      </c>
      <c r="C26" s="9">
        <v>45358</v>
      </c>
      <c r="D26" s="9">
        <v>45363</v>
      </c>
      <c r="E26" s="7">
        <v>5.82</v>
      </c>
      <c r="F26" s="7">
        <v>6.4235139999999999</v>
      </c>
      <c r="G26" s="8" cm="1">
        <f t="array" aca="1" ref="G26" ca="1">_FV(TableYigaelUSA[[#This Row],[Instrumant]],"Price")</f>
        <v>9.57</v>
      </c>
      <c r="H26" s="6">
        <v>10700</v>
      </c>
      <c r="I26" s="6">
        <f>TableYigaelUSA[[#This Row],[Buy Price]]*TableYigaelUSA[[#This Row],[Order ammount]]</f>
        <v>62274</v>
      </c>
      <c r="J26" s="6">
        <f>TableYigaelUSA[[#This Row],[Sell Price]]*TableYigaelUSA[[#This Row],[Order ammount]]</f>
        <v>68731.599799999996</v>
      </c>
      <c r="K26" s="8">
        <f ca="1">TableYigaelUSA[[#This Row],[Current Price]]*TableYigaelUSA[[#This Row],[Order ammount]]</f>
        <v>102399</v>
      </c>
      <c r="L26" s="6"/>
      <c r="M26" s="7"/>
      <c r="N26" s="6">
        <f>TableYigaelUSA[[#This Row],[Sell Value]]-TableYigaelUSA[[#This Row],[Buy Value]] +TableYigaelUSA[[#This Row],[Dividand]]</f>
        <v>6457.5997999999963</v>
      </c>
      <c r="O26" s="6"/>
      <c r="P26" s="6"/>
      <c r="Q26" s="6"/>
      <c r="R26" s="6"/>
      <c r="S26" s="6"/>
      <c r="T26" s="6"/>
    </row>
    <row r="27" spans="1:20" ht="15.75" x14ac:dyDescent="0.25">
      <c r="A27" s="6" t="str" cm="1">
        <f t="array" aca="1" ref="A27" ca="1">_FV(TableYigaelUSA[[#This Row],[Instrumant]],"Ticker symbol",TRUE)</f>
        <v>SOUN</v>
      </c>
      <c r="B27" s="9" t="e" vm="13">
        <v>#VALUE!</v>
      </c>
      <c r="C27" s="9">
        <v>45363</v>
      </c>
      <c r="D27" s="9">
        <v>45363</v>
      </c>
      <c r="E27" s="7">
        <v>6.66</v>
      </c>
      <c r="F27" s="7">
        <v>6.6349999999999998</v>
      </c>
      <c r="G27" s="8" cm="1">
        <f t="array" aca="1" ref="G27" ca="1">_FV(TableYigaelUSA[[#This Row],[Instrumant]],"Price")</f>
        <v>9.57</v>
      </c>
      <c r="H27" s="6">
        <v>2000</v>
      </c>
      <c r="I27" s="6">
        <f>TableYigaelUSA[[#This Row],[Buy Price]]*TableYigaelUSA[[#This Row],[Order ammount]]</f>
        <v>13320</v>
      </c>
      <c r="J27" s="6">
        <f>TableYigaelUSA[[#This Row],[Sell Price]]*TableYigaelUSA[[#This Row],[Order ammount]]</f>
        <v>13270</v>
      </c>
      <c r="K27" s="8">
        <f ca="1">TableYigaelUSA[[#This Row],[Current Price]]*TableYigaelUSA[[#This Row],[Order ammount]]</f>
        <v>19140</v>
      </c>
      <c r="L27" s="6"/>
      <c r="M27" s="7"/>
      <c r="N27" s="6">
        <f>TableYigaelUSA[[#This Row],[Sell Value]]-TableYigaelUSA[[#This Row],[Buy Value]] +TableYigaelUSA[[#This Row],[Dividand]]</f>
        <v>-50</v>
      </c>
      <c r="O27" s="6"/>
      <c r="P27" s="6"/>
      <c r="Q27" s="6"/>
      <c r="R27" s="6"/>
      <c r="S27" s="6"/>
      <c r="T27" s="6"/>
    </row>
    <row r="28" spans="1:20" ht="15.75" x14ac:dyDescent="0.25">
      <c r="A28" s="6" t="str" cm="1">
        <f t="array" aca="1" ref="A28" ca="1">_FV(TableYigaelUSA[[#This Row],[Instrumant]],"Ticker symbol",TRUE)</f>
        <v>ARM</v>
      </c>
      <c r="B28" s="9" t="e" vm="15">
        <v>#VALUE!</v>
      </c>
      <c r="C28" s="9">
        <v>45363</v>
      </c>
      <c r="D28" s="9">
        <v>45364</v>
      </c>
      <c r="E28" s="7">
        <v>126.7136</v>
      </c>
      <c r="F28" s="7">
        <v>131.09</v>
      </c>
      <c r="G28" s="8" cm="1">
        <f t="array" aca="1" ref="G28" ca="1">_FV(TableYigaelUSA[[#This Row],[Instrumant]],"Price")</f>
        <v>157.31</v>
      </c>
      <c r="H28" s="6">
        <v>300</v>
      </c>
      <c r="I28" s="6">
        <f>TableYigaelUSA[[#This Row],[Buy Price]]*TableYigaelUSA[[#This Row],[Order ammount]]</f>
        <v>38014.080000000002</v>
      </c>
      <c r="J28" s="6">
        <f>TableYigaelUSA[[#This Row],[Sell Price]]*TableYigaelUSA[[#This Row],[Order ammount]]</f>
        <v>39327</v>
      </c>
      <c r="K28" s="8">
        <f ca="1">TableYigaelUSA[[#This Row],[Current Price]]*TableYigaelUSA[[#This Row],[Order ammount]]</f>
        <v>47193</v>
      </c>
      <c r="L28" s="6"/>
      <c r="M28" s="7"/>
      <c r="N28" s="6">
        <f>TableYigaelUSA[[#This Row],[Sell Value]]-TableYigaelUSA[[#This Row],[Buy Value]] +TableYigaelUSA[[#This Row],[Dividand]]</f>
        <v>1312.9199999999983</v>
      </c>
      <c r="O28" s="6"/>
      <c r="P28" s="6"/>
      <c r="Q28" s="6"/>
      <c r="R28" s="6"/>
      <c r="S28" s="6"/>
      <c r="T28" s="6"/>
    </row>
    <row r="29" spans="1:20" ht="15.75" x14ac:dyDescent="0.25">
      <c r="A29" s="6" t="str" cm="1">
        <f t="array" aca="1" ref="A29" ca="1">_FV(TableYigaelUSA[[#This Row],[Instrumant]],"Ticker symbol",TRUE)</f>
        <v>GOOGL</v>
      </c>
      <c r="B29" s="9" t="e" vm="16">
        <v>#VALUE!</v>
      </c>
      <c r="C29" s="9">
        <v>45348</v>
      </c>
      <c r="D29" s="9">
        <v>45369</v>
      </c>
      <c r="E29" s="7">
        <v>138.36500000000001</v>
      </c>
      <c r="F29" s="7">
        <v>149.65</v>
      </c>
      <c r="G29" s="8" cm="1">
        <f t="array" aca="1" ref="G29" ca="1">_FV(TableYigaelUSA[[#This Row],[Instrumant]],"Price")</f>
        <v>170.68</v>
      </c>
      <c r="H29" s="6">
        <v>300</v>
      </c>
      <c r="I29" s="6">
        <f>TableYigaelUSA[[#This Row],[Buy Price]]*TableYigaelUSA[[#This Row],[Order ammount]]</f>
        <v>41509.5</v>
      </c>
      <c r="J29" s="6">
        <f>TableYigaelUSA[[#This Row],[Sell Price]]*TableYigaelUSA[[#This Row],[Order ammount]]</f>
        <v>44895</v>
      </c>
      <c r="K29" s="8">
        <f ca="1">TableYigaelUSA[[#This Row],[Current Price]]*TableYigaelUSA[[#This Row],[Order ammount]]</f>
        <v>51204</v>
      </c>
      <c r="L29" s="6"/>
      <c r="M29" s="7"/>
      <c r="N29" s="6">
        <f>TableYigaelUSA[[#This Row],[Sell Value]]-TableYigaelUSA[[#This Row],[Buy Value]] +TableYigaelUSA[[#This Row],[Dividand]]</f>
        <v>3385.5</v>
      </c>
      <c r="O29" s="6"/>
      <c r="P29" s="6"/>
      <c r="Q29" s="6"/>
      <c r="R29" s="6"/>
      <c r="S29" s="6"/>
      <c r="T29" s="6"/>
    </row>
    <row r="30" spans="1:20" ht="15.75" x14ac:dyDescent="0.25">
      <c r="A30" s="13" t="str" cm="1">
        <f t="array" aca="1" ref="A30" ca="1">_FV(TableYigaelUSA[[#This Row],[Instrumant]],"Ticker symbol",TRUE)</f>
        <v>TSLA</v>
      </c>
      <c r="B30" s="9" t="e" vm="7">
        <v>#VALUE!</v>
      </c>
      <c r="C30" s="9">
        <v>45352</v>
      </c>
      <c r="D30" s="9">
        <v>45369</v>
      </c>
      <c r="E30" s="7">
        <v>199.01</v>
      </c>
      <c r="F30" s="7">
        <v>171.2</v>
      </c>
      <c r="G30" s="8" cm="1">
        <f t="array" aca="1" ref="G30" ca="1">_FV(TableYigaelUSA[[#This Row],[Instrumant]],"Price")</f>
        <v>327.55</v>
      </c>
      <c r="H30" s="6">
        <v>150</v>
      </c>
      <c r="I30" s="6">
        <f>TableYigaelUSA[[#This Row],[Buy Price]]*TableYigaelUSA[[#This Row],[Order ammount]]</f>
        <v>29851.5</v>
      </c>
      <c r="J30" s="6">
        <f>TableYigaelUSA[[#This Row],[Sell Price]]*TableYigaelUSA[[#This Row],[Order ammount]]</f>
        <v>25680</v>
      </c>
      <c r="K30" s="8">
        <f ca="1">TableYigaelUSA[[#This Row],[Current Price]]*TableYigaelUSA[[#This Row],[Order ammount]]</f>
        <v>49132.5</v>
      </c>
      <c r="L30" s="6"/>
      <c r="M30" s="7"/>
      <c r="N30" s="6">
        <f>TableYigaelUSA[[#This Row],[Sell Value]]-TableYigaelUSA[[#This Row],[Buy Value]] +TableYigaelUSA[[#This Row],[Dividand]]</f>
        <v>-4171.5</v>
      </c>
      <c r="O30" s="6"/>
      <c r="P30" s="6"/>
      <c r="Q30" s="6"/>
      <c r="R30" s="6"/>
      <c r="S30" s="6"/>
      <c r="T30" s="6"/>
    </row>
    <row r="31" spans="1:20" ht="15.75" x14ac:dyDescent="0.25">
      <c r="A31" s="6" t="str" cm="1">
        <f t="array" aca="1" ref="A31" ca="1">_FV(TableYigaelUSA[[#This Row],[Instrumant]],"Ticker symbol",TRUE)</f>
        <v>SPOT</v>
      </c>
      <c r="B31" s="9" t="e" vm="17">
        <v>#VALUE!</v>
      </c>
      <c r="C31" s="9">
        <v>45359</v>
      </c>
      <c r="D31" s="9">
        <v>45372</v>
      </c>
      <c r="E31" s="7">
        <v>261.79000000000002</v>
      </c>
      <c r="F31" s="7">
        <v>260.86500000000001</v>
      </c>
      <c r="G31" s="8" cm="1">
        <f t="array" aca="1" ref="G31" ca="1">_FV(TableYigaelUSA[[#This Row],[Instrumant]],"Price")</f>
        <v>736.3</v>
      </c>
      <c r="H31" s="6">
        <v>100</v>
      </c>
      <c r="I31" s="6">
        <f>TableYigaelUSA[[#This Row],[Buy Price]]*TableYigaelUSA[[#This Row],[Order ammount]]</f>
        <v>26179.000000000004</v>
      </c>
      <c r="J31" s="6">
        <f>TableYigaelUSA[[#This Row],[Sell Price]]*TableYigaelUSA[[#This Row],[Order ammount]]</f>
        <v>26086.5</v>
      </c>
      <c r="K31" s="8">
        <f ca="1">TableYigaelUSA[[#This Row],[Current Price]]*TableYigaelUSA[[#This Row],[Order ammount]]</f>
        <v>73630</v>
      </c>
      <c r="L31" s="6"/>
      <c r="M31" s="7"/>
      <c r="N31" s="6">
        <f>TableYigaelUSA[[#This Row],[Sell Value]]-TableYigaelUSA[[#This Row],[Buy Value]] +TableYigaelUSA[[#This Row],[Dividand]]</f>
        <v>-92.500000000003638</v>
      </c>
      <c r="O31" s="6"/>
      <c r="P31" s="6"/>
      <c r="Q31" s="6"/>
      <c r="R31" s="6"/>
      <c r="S31" s="6"/>
      <c r="T31" s="6"/>
    </row>
    <row r="32" spans="1:20" ht="15.75" x14ac:dyDescent="0.25">
      <c r="A32" s="6" t="str" cm="1">
        <f t="array" aca="1" ref="A32" ca="1">_FV(TableYigaelUSA[[#This Row],[Instrumant]],"Ticker symbol",TRUE)</f>
        <v>SOUN</v>
      </c>
      <c r="B32" s="9" t="e" vm="13">
        <v>#VALUE!</v>
      </c>
      <c r="C32" s="9">
        <v>45372</v>
      </c>
      <c r="D32" s="9">
        <v>45373</v>
      </c>
      <c r="E32" s="7">
        <v>7.06</v>
      </c>
      <c r="F32" s="6">
        <v>6.18</v>
      </c>
      <c r="G32" s="6">
        <v>6.18</v>
      </c>
      <c r="H32" s="6">
        <v>4300</v>
      </c>
      <c r="I32" s="6">
        <f>TableYigaelUSA[[#This Row],[Buy Price]]*TableYigaelUSA[[#This Row],[Order ammount]]</f>
        <v>30358</v>
      </c>
      <c r="J32" s="6">
        <f>TableYigaelUSA[[#This Row],[Sell Price]]*TableYigaelUSA[[#This Row],[Order ammount]]</f>
        <v>26574</v>
      </c>
      <c r="K32" s="8">
        <f>TableYigaelUSA[[#This Row],[Current Price]]*TableYigaelUSA[[#This Row],[Order ammount]]</f>
        <v>26574</v>
      </c>
      <c r="L32" s="6"/>
      <c r="M32" s="7"/>
      <c r="N32" s="6">
        <f>TableYigaelUSA[[#This Row],[Sell Value]]-TableYigaelUSA[[#This Row],[Buy Value]] +TableYigaelUSA[[#This Row],[Dividand]]</f>
        <v>-3784</v>
      </c>
      <c r="O32" s="6"/>
      <c r="P32" s="6"/>
      <c r="Q32" s="6"/>
      <c r="R32" s="6"/>
      <c r="S32" s="6"/>
      <c r="T32" s="6"/>
    </row>
    <row r="33" spans="1:20" ht="15.75" x14ac:dyDescent="0.25">
      <c r="A33" s="6" t="str" cm="1">
        <f t="array" aca="1" ref="A33" ca="1">_FV(TableYigaelUSA[[#This Row],[Instrumant]],"Ticker symbol",TRUE)</f>
        <v>SMCI</v>
      </c>
      <c r="B33" s="9" t="e" vm="11">
        <v>#VALUE!</v>
      </c>
      <c r="C33" s="9">
        <v>45369</v>
      </c>
      <c r="D33" s="9">
        <v>45376</v>
      </c>
      <c r="E33" s="7">
        <v>1012.22</v>
      </c>
      <c r="F33" s="7">
        <v>1022.96</v>
      </c>
      <c r="G33" s="8" cm="1">
        <f t="array" aca="1" ref="G33" ca="1">_FV(TableYigaelUSA[[#This Row],[Instrumant]],"Price")</f>
        <v>46.61</v>
      </c>
      <c r="H33" s="6">
        <v>63</v>
      </c>
      <c r="I33" s="6">
        <f>TableYigaelUSA[[#This Row],[Buy Price]]*TableYigaelUSA[[#This Row],[Order ammount]]</f>
        <v>63769.86</v>
      </c>
      <c r="J33" s="6">
        <f>TableYigaelUSA[[#This Row],[Sell Price]]*TableYigaelUSA[[#This Row],[Order ammount]]</f>
        <v>64446.48</v>
      </c>
      <c r="K33" s="8">
        <f ca="1">TableYigaelUSA[[#This Row],[Current Price]]*TableYigaelUSA[[#This Row],[Order ammount]]</f>
        <v>2936.43</v>
      </c>
      <c r="L33" s="6"/>
      <c r="M33" s="7"/>
      <c r="N33" s="6">
        <f>TableYigaelUSA[[#This Row],[Sell Value]]-TableYigaelUSA[[#This Row],[Buy Value]] +TableYigaelUSA[[#This Row],[Dividand]]</f>
        <v>676.62000000000262</v>
      </c>
      <c r="O33" s="6"/>
      <c r="P33" s="6"/>
      <c r="Q33" s="6"/>
      <c r="R33" s="6"/>
      <c r="S33" s="6"/>
      <c r="T33" s="6"/>
    </row>
    <row r="34" spans="1:20" ht="15.75" x14ac:dyDescent="0.25">
      <c r="A34" s="6" t="str" cm="1">
        <f t="array" aca="1" ref="A34" ca="1">_FV(TableYigaelUSA[[#This Row],[Instrumant]],"Ticker symbol",TRUE)</f>
        <v>PLTR</v>
      </c>
      <c r="B34" s="9" t="e" vm="6">
        <v>#VALUE!</v>
      </c>
      <c r="C34" s="9">
        <v>45363</v>
      </c>
      <c r="D34" s="9">
        <v>45376</v>
      </c>
      <c r="E34" s="7">
        <v>24.542580000000001</v>
      </c>
      <c r="F34" s="7">
        <v>24.46</v>
      </c>
      <c r="G34" s="8" cm="1">
        <f t="array" aca="1" ref="G34" ca="1">_FV(TableYigaelUSA[[#This Row],[Instrumant]],"Price")</f>
        <v>142.9</v>
      </c>
      <c r="H34" s="6">
        <v>1500</v>
      </c>
      <c r="I34" s="6">
        <f>TableYigaelUSA[[#This Row],[Buy Price]]*TableYigaelUSA[[#This Row],[Order ammount]]</f>
        <v>36813.870000000003</v>
      </c>
      <c r="J34" s="6">
        <f>TableYigaelUSA[[#This Row],[Sell Price]]*TableYigaelUSA[[#This Row],[Order ammount]]</f>
        <v>36690</v>
      </c>
      <c r="K34" s="8">
        <f ca="1">TableYigaelUSA[[#This Row],[Current Price]]*TableYigaelUSA[[#This Row],[Order ammount]]</f>
        <v>214350</v>
      </c>
      <c r="L34" s="6"/>
      <c r="M34" s="7"/>
      <c r="N34" s="6">
        <f>TableYigaelUSA[[#This Row],[Sell Value]]-TableYigaelUSA[[#This Row],[Buy Value]] +TableYigaelUSA[[#This Row],[Dividand]]</f>
        <v>-123.87000000000262</v>
      </c>
      <c r="O34" s="6"/>
    </row>
    <row r="35" spans="1:20" ht="15.75" x14ac:dyDescent="0.25">
      <c r="A35" s="6" t="str" cm="1">
        <f t="array" aca="1" ref="A35" ca="1">_FV(TableYigaelUSA[[#This Row],[Instrumant]],"Ticker symbol",TRUE)</f>
        <v>NVDA</v>
      </c>
      <c r="B35" s="9" t="e" vm="2">
        <v>#VALUE!</v>
      </c>
      <c r="C35" s="9">
        <v>45359</v>
      </c>
      <c r="D35" s="9">
        <v>45376</v>
      </c>
      <c r="E35" s="7">
        <v>954.6</v>
      </c>
      <c r="F35" s="7">
        <v>966.5</v>
      </c>
      <c r="G35" s="8" cm="1">
        <f t="array" aca="1" ref="G35" ca="1">_FV(TableYigaelUSA[[#This Row],[Instrumant]],"Price")</f>
        <v>154.31</v>
      </c>
      <c r="H35" s="6">
        <v>35</v>
      </c>
      <c r="I35" s="6">
        <f>TableYigaelUSA[[#This Row],[Buy Price]]*TableYigaelUSA[[#This Row],[Order ammount]]</f>
        <v>33411</v>
      </c>
      <c r="J35" s="6">
        <f>TableYigaelUSA[[#This Row],[Sell Price]]*TableYigaelUSA[[#This Row],[Order ammount]]</f>
        <v>33827.5</v>
      </c>
      <c r="K35" s="8">
        <f ca="1">TableYigaelUSA[[#This Row],[Current Price]]*TableYigaelUSA[[#This Row],[Order ammount]]</f>
        <v>5400.85</v>
      </c>
      <c r="L35" s="6"/>
      <c r="M35" s="7"/>
      <c r="N35" s="6">
        <f>TableYigaelUSA[[#This Row],[Sell Value]]-TableYigaelUSA[[#This Row],[Buy Value]] +TableYigaelUSA[[#This Row],[Dividand]]</f>
        <v>416.5</v>
      </c>
      <c r="O35" s="6"/>
    </row>
    <row r="36" spans="1:20" ht="15.75" x14ac:dyDescent="0.25">
      <c r="A36" s="6" t="str" cm="1">
        <f t="array" aca="1" ref="A36" ca="1">_FV(TableYigaelUSA[[#This Row],[Instrumant]],"Ticker symbol",TRUE)</f>
        <v>SMCI</v>
      </c>
      <c r="B36" s="9" t="e" vm="11">
        <v>#VALUE!</v>
      </c>
      <c r="C36" s="9">
        <v>45376</v>
      </c>
      <c r="D36" s="9">
        <v>45376</v>
      </c>
      <c r="E36" s="7">
        <v>1057</v>
      </c>
      <c r="F36" s="7">
        <v>1062.3499999999999</v>
      </c>
      <c r="G36" s="8" cm="1">
        <f t="array" aca="1" ref="G36" ca="1">_FV(TableYigaelUSA[[#This Row],[Instrumant]],"Price")</f>
        <v>46.61</v>
      </c>
      <c r="H36" s="6">
        <v>30</v>
      </c>
      <c r="I36" s="6">
        <f>TableYigaelUSA[[#This Row],[Buy Price]]*TableYigaelUSA[[#This Row],[Order ammount]]</f>
        <v>31710</v>
      </c>
      <c r="J36" s="6">
        <f>TableYigaelUSA[[#This Row],[Sell Price]]*TableYigaelUSA[[#This Row],[Order ammount]]</f>
        <v>31870.499999999996</v>
      </c>
      <c r="K36" s="8">
        <f ca="1">TableYigaelUSA[[#This Row],[Current Price]]*TableYigaelUSA[[#This Row],[Order ammount]]</f>
        <v>1398.3</v>
      </c>
      <c r="L36" s="6"/>
      <c r="M36" s="7"/>
      <c r="N36" s="6">
        <f>TableYigaelUSA[[#This Row],[Sell Value]]-TableYigaelUSA[[#This Row],[Buy Value]] +TableYigaelUSA[[#This Row],[Dividand]]</f>
        <v>160.49999999999636</v>
      </c>
      <c r="O36" s="6"/>
    </row>
    <row r="37" spans="1:20" ht="15.75" x14ac:dyDescent="0.25">
      <c r="A37" s="6" t="str" cm="1">
        <f t="array" aca="1" ref="A37" ca="1">_FV(TableYigaelUSA[[#This Row],[Instrumant]],"Ticker symbol",TRUE)</f>
        <v>NVDA</v>
      </c>
      <c r="B37" s="9" t="e" vm="2">
        <v>#VALUE!</v>
      </c>
      <c r="C37" s="9">
        <v>45376</v>
      </c>
      <c r="D37" s="9">
        <v>45376</v>
      </c>
      <c r="E37" s="7">
        <v>965</v>
      </c>
      <c r="F37" s="7">
        <v>953.44</v>
      </c>
      <c r="G37" s="8" cm="1">
        <f t="array" aca="1" ref="G37" ca="1">_FV(TableYigaelUSA[[#This Row],[Instrumant]],"Price")</f>
        <v>154.31</v>
      </c>
      <c r="H37" s="6">
        <v>30</v>
      </c>
      <c r="I37" s="6">
        <f>TableYigaelUSA[[#This Row],[Buy Price]]*TableYigaelUSA[[#This Row],[Order ammount]]</f>
        <v>28950</v>
      </c>
      <c r="J37" s="6">
        <f>TableYigaelUSA[[#This Row],[Sell Price]]*TableYigaelUSA[[#This Row],[Order ammount]]</f>
        <v>28603.200000000001</v>
      </c>
      <c r="K37" s="8">
        <f ca="1">TableYigaelUSA[[#This Row],[Current Price]]*TableYigaelUSA[[#This Row],[Order ammount]]</f>
        <v>4629.3</v>
      </c>
      <c r="L37" s="6"/>
      <c r="M37" s="7"/>
      <c r="N37" s="6">
        <f>TableYigaelUSA[[#This Row],[Sell Value]]-TableYigaelUSA[[#This Row],[Buy Value]] +TableYigaelUSA[[#This Row],[Dividand]]</f>
        <v>-346.79999999999927</v>
      </c>
      <c r="O37" s="6"/>
    </row>
    <row r="38" spans="1:20" ht="15.75" x14ac:dyDescent="0.25">
      <c r="A38" s="6" t="str" cm="1">
        <f t="array" aca="1" ref="A38" ca="1">_FV(TableYigaelUSA[[#This Row],[Instrumant]],"Ticker symbol",TRUE)</f>
        <v>SMCI</v>
      </c>
      <c r="B38" s="9" t="e" vm="11">
        <v>#VALUE!</v>
      </c>
      <c r="C38" s="9">
        <v>45376</v>
      </c>
      <c r="D38" s="9">
        <v>45377</v>
      </c>
      <c r="E38" s="7">
        <v>1043</v>
      </c>
      <c r="F38" s="7">
        <v>1067</v>
      </c>
      <c r="G38" s="8" cm="1">
        <f t="array" aca="1" ref="G38" ca="1">_FV(TableYigaelUSA[[#This Row],[Instrumant]],"Price")</f>
        <v>46.61</v>
      </c>
      <c r="H38" s="6">
        <v>30</v>
      </c>
      <c r="I38" s="6">
        <f>TableYigaelUSA[[#This Row],[Buy Price]]*TableYigaelUSA[[#This Row],[Order ammount]]</f>
        <v>31290</v>
      </c>
      <c r="J38" s="6">
        <f>TableYigaelUSA[[#This Row],[Sell Price]]*TableYigaelUSA[[#This Row],[Order ammount]]</f>
        <v>32010</v>
      </c>
      <c r="K38" s="8">
        <f ca="1">TableYigaelUSA[[#This Row],[Current Price]]*TableYigaelUSA[[#This Row],[Order ammount]]</f>
        <v>1398.3</v>
      </c>
      <c r="L38" s="6"/>
      <c r="M38" s="7"/>
      <c r="N38" s="6">
        <f>TableYigaelUSA[[#This Row],[Sell Value]]-TableYigaelUSA[[#This Row],[Buy Value]] +TableYigaelUSA[[#This Row],[Dividand]]</f>
        <v>720</v>
      </c>
      <c r="O38" s="6"/>
    </row>
    <row r="39" spans="1:20" ht="15.75" x14ac:dyDescent="0.25">
      <c r="A39" s="6" t="str" cm="1">
        <f t="array" aca="1" ref="A39" ca="1">_FV(TableYigaelUSA[[#This Row],[Instrumant]],"Ticker symbol",TRUE)</f>
        <v>MU</v>
      </c>
      <c r="B39" s="9" t="e" vm="18">
        <v>#VALUE!</v>
      </c>
      <c r="C39" s="9">
        <v>45376</v>
      </c>
      <c r="D39" s="9">
        <v>45377</v>
      </c>
      <c r="E39" s="7">
        <v>117.65</v>
      </c>
      <c r="F39" s="7">
        <v>119.74</v>
      </c>
      <c r="G39" s="8" cm="1">
        <f t="array" aca="1" ref="G39" ca="1">_FV(TableYigaelUSA[[#This Row],[Instrumant]],"Price")</f>
        <v>127.25</v>
      </c>
      <c r="H39" s="6">
        <v>300</v>
      </c>
      <c r="I39" s="6">
        <f>TableYigaelUSA[[#This Row],[Buy Price]]*TableYigaelUSA[[#This Row],[Order ammount]]</f>
        <v>35295</v>
      </c>
      <c r="J39" s="6">
        <f>TableYigaelUSA[[#This Row],[Sell Price]]*TableYigaelUSA[[#This Row],[Order ammount]]</f>
        <v>35922</v>
      </c>
      <c r="K39" s="8">
        <f ca="1">TableYigaelUSA[[#This Row],[Current Price]]*TableYigaelUSA[[#This Row],[Order ammount]]</f>
        <v>38175</v>
      </c>
      <c r="L39" s="6"/>
      <c r="M39" s="7"/>
      <c r="N39" s="6">
        <f>TableYigaelUSA[[#This Row],[Sell Value]]-TableYigaelUSA[[#This Row],[Buy Value]] +TableYigaelUSA[[#This Row],[Dividand]]</f>
        <v>627</v>
      </c>
      <c r="O39" s="6"/>
    </row>
    <row r="40" spans="1:20" ht="15.75" x14ac:dyDescent="0.25">
      <c r="A40" s="6" t="str" cm="1">
        <f t="array" aca="1" ref="A40" ca="1">_FV(TableYigaelUSA[[#This Row],[Instrumant]],"Ticker symbol",TRUE)</f>
        <v>ASML</v>
      </c>
      <c r="B40" s="9" t="e" vm="19">
        <v>#VALUE!</v>
      </c>
      <c r="C40" s="9">
        <v>45373</v>
      </c>
      <c r="D40" s="9">
        <v>45377</v>
      </c>
      <c r="E40" s="7">
        <v>974.34</v>
      </c>
      <c r="F40" s="7">
        <v>973.38499999999999</v>
      </c>
      <c r="G40" s="8" cm="1">
        <f t="array" aca="1" ref="G40" ca="1">_FV(TableYigaelUSA[[#This Row],[Instrumant]],"Price")</f>
        <v>815.24</v>
      </c>
      <c r="H40" s="6">
        <v>90</v>
      </c>
      <c r="I40" s="6">
        <f>TableYigaelUSA[[#This Row],[Buy Price]]*TableYigaelUSA[[#This Row],[Order ammount]]</f>
        <v>87690.6</v>
      </c>
      <c r="J40" s="6">
        <f>TableYigaelUSA[[#This Row],[Sell Price]]*TableYigaelUSA[[#This Row],[Order ammount]]</f>
        <v>87604.65</v>
      </c>
      <c r="K40" s="8">
        <f ca="1">TableYigaelUSA[[#This Row],[Current Price]]*TableYigaelUSA[[#This Row],[Order ammount]]</f>
        <v>73371.600000000006</v>
      </c>
      <c r="L40" s="6"/>
      <c r="M40" s="7"/>
      <c r="N40" s="6">
        <f>TableYigaelUSA[[#This Row],[Sell Value]]-TableYigaelUSA[[#This Row],[Buy Value]] +TableYigaelUSA[[#This Row],[Dividand]]</f>
        <v>-85.950000000011642</v>
      </c>
      <c r="O40" s="6"/>
    </row>
    <row r="41" spans="1:20" ht="15.75" x14ac:dyDescent="0.25">
      <c r="A41" s="6" t="str" cm="1">
        <f t="array" aca="1" ref="A41" ca="1">_FV(TableYigaelUSA[[#This Row],[Instrumant]],"Ticker symbol",TRUE)</f>
        <v>ARM</v>
      </c>
      <c r="B41" s="9" t="e" vm="15">
        <v>#VALUE!</v>
      </c>
      <c r="C41" s="9">
        <v>45377</v>
      </c>
      <c r="D41" s="9">
        <v>45383</v>
      </c>
      <c r="E41" s="7">
        <v>131.375</v>
      </c>
      <c r="F41" s="7">
        <v>126.875</v>
      </c>
      <c r="G41" s="8" cm="1">
        <f t="array" aca="1" ref="G41" ca="1">_FV(TableYigaelUSA[[#This Row],[Instrumant]],"Price")</f>
        <v>157.31</v>
      </c>
      <c r="H41" s="6">
        <v>300</v>
      </c>
      <c r="I41" s="6">
        <f>TableYigaelUSA[[#This Row],[Buy Price]]*TableYigaelUSA[[#This Row],[Order ammount]]</f>
        <v>39412.5</v>
      </c>
      <c r="J41" s="6">
        <f>TableYigaelUSA[[#This Row],[Sell Price]]*TableYigaelUSA[[#This Row],[Order ammount]]</f>
        <v>38062.5</v>
      </c>
      <c r="K41" s="8">
        <f ca="1">TableYigaelUSA[[#This Row],[Current Price]]*TableYigaelUSA[[#This Row],[Order ammount]]</f>
        <v>47193</v>
      </c>
      <c r="L41" s="6"/>
      <c r="M41" s="7"/>
      <c r="N41" s="6">
        <f>TableYigaelUSA[[#This Row],[Sell Value]]-TableYigaelUSA[[#This Row],[Buy Value]] +TableYigaelUSA[[#This Row],[Dividand]]</f>
        <v>-1350</v>
      </c>
      <c r="O41" s="6"/>
    </row>
    <row r="42" spans="1:20" ht="15.75" x14ac:dyDescent="0.25">
      <c r="A42" s="6" t="str" cm="1">
        <f t="array" aca="1" ref="A42" ca="1">_FV(TableYigaelUSA[[#This Row],[Instrumant]],"Ticker symbol",TRUE)</f>
        <v>ORCL</v>
      </c>
      <c r="B42" s="9" t="e" vm="20">
        <v>#VALUE!</v>
      </c>
      <c r="C42" s="9">
        <v>45377</v>
      </c>
      <c r="D42" s="9">
        <v>45384</v>
      </c>
      <c r="E42" s="7">
        <v>126.45</v>
      </c>
      <c r="F42" s="7">
        <v>123.82259999999999</v>
      </c>
      <c r="G42" s="8" cm="1">
        <f t="array" aca="1" ref="G42" ca="1">_FV(TableYigaelUSA[[#This Row],[Instrumant]],"Price")</f>
        <v>210.72</v>
      </c>
      <c r="H42" s="6">
        <v>200</v>
      </c>
      <c r="I42" s="6">
        <f>TableYigaelUSA[[#This Row],[Buy Price]]*TableYigaelUSA[[#This Row],[Order ammount]]</f>
        <v>25290</v>
      </c>
      <c r="J42" s="6">
        <f>TableYigaelUSA[[#This Row],[Sell Price]]*TableYigaelUSA[[#This Row],[Order ammount]]</f>
        <v>24764.52</v>
      </c>
      <c r="K42" s="8">
        <f ca="1">TableYigaelUSA[[#This Row],[Current Price]]*TableYigaelUSA[[#This Row],[Order ammount]]</f>
        <v>42144</v>
      </c>
      <c r="L42" s="6"/>
      <c r="M42" s="7"/>
      <c r="N42" s="6">
        <f>TableYigaelUSA[[#This Row],[Sell Value]]-TableYigaelUSA[[#This Row],[Buy Value]] +TableYigaelUSA[[#This Row],[Dividand]]</f>
        <v>-525.47999999999956</v>
      </c>
      <c r="O42" s="6"/>
    </row>
    <row r="43" spans="1:20" ht="15.75" x14ac:dyDescent="0.25">
      <c r="A43" s="6" t="str" cm="1">
        <f t="array" aca="1" ref="A43" ca="1">_FV(TableYigaelUSA[[#This Row],[Instrumant]],"Ticker symbol",TRUE)</f>
        <v>LLY</v>
      </c>
      <c r="B43" s="9" t="e" vm="21">
        <v>#VALUE!</v>
      </c>
      <c r="C43" s="9">
        <v>45383</v>
      </c>
      <c r="D43" s="9">
        <v>45384</v>
      </c>
      <c r="E43" s="7">
        <v>757</v>
      </c>
      <c r="F43" s="7">
        <v>764.86</v>
      </c>
      <c r="G43" s="8" cm="1">
        <f t="array" aca="1" ref="G43" ca="1">_FV(TableYigaelUSA[[#This Row],[Instrumant]],"Price")</f>
        <v>792.3</v>
      </c>
      <c r="H43" s="6">
        <v>40</v>
      </c>
      <c r="I43" s="6">
        <f>TableYigaelUSA[[#This Row],[Buy Price]]*TableYigaelUSA[[#This Row],[Order ammount]]</f>
        <v>30280</v>
      </c>
      <c r="J43" s="6">
        <f>TableYigaelUSA[[#This Row],[Sell Price]]*TableYigaelUSA[[#This Row],[Order ammount]]</f>
        <v>30594.400000000001</v>
      </c>
      <c r="K43" s="8">
        <f ca="1">TableYigaelUSA[[#This Row],[Current Price]]*TableYigaelUSA[[#This Row],[Order ammount]]</f>
        <v>31692</v>
      </c>
      <c r="L43" s="6"/>
      <c r="M43" s="7">
        <f ca="1">TableYigaelUSA[[#This Row],[Current Value]]-TableYigaelUSA[[#This Row],[Buy Value]] +TableYigaelUSA[[#This Row],[Dividand]]</f>
        <v>1412</v>
      </c>
      <c r="N43" s="6">
        <f>TableYigaelUSA[[#This Row],[Sell Value]]-TableYigaelUSA[[#This Row],[Buy Value]] +TableYigaelUSA[[#This Row],[Dividand]]</f>
        <v>314.40000000000146</v>
      </c>
      <c r="O43" s="6"/>
    </row>
    <row r="44" spans="1:20" ht="15.75" x14ac:dyDescent="0.25">
      <c r="A44" s="6" t="str" cm="1">
        <f t="array" aca="1" ref="A44" ca="1">_FV(TableYigaelUSA[[#This Row],[Instrumant]],"Ticker symbol",TRUE)</f>
        <v>MU</v>
      </c>
      <c r="B44" s="9" t="e" vm="18">
        <v>#VALUE!</v>
      </c>
      <c r="C44" s="9">
        <v>45383</v>
      </c>
      <c r="D44" s="9">
        <v>45385</v>
      </c>
      <c r="E44" s="7">
        <v>123.45</v>
      </c>
      <c r="F44" s="7">
        <v>127.38</v>
      </c>
      <c r="G44" s="8" cm="1">
        <f t="array" aca="1" ref="G44" ca="1">_FV(TableYigaelUSA[[#This Row],[Instrumant]],"Price")</f>
        <v>127.25</v>
      </c>
      <c r="H44" s="6">
        <v>200</v>
      </c>
      <c r="I44" s="6">
        <f>TableYigaelUSA[[#This Row],[Buy Price]]*TableYigaelUSA[[#This Row],[Order ammount]]</f>
        <v>24690</v>
      </c>
      <c r="J44" s="6">
        <f>TableYigaelUSA[[#This Row],[Sell Price]]*TableYigaelUSA[[#This Row],[Order ammount]]</f>
        <v>25476</v>
      </c>
      <c r="K44" s="8">
        <f ca="1">TableYigaelUSA[[#This Row],[Current Price]]*TableYigaelUSA[[#This Row],[Order ammount]]</f>
        <v>25450</v>
      </c>
      <c r="L44" s="6"/>
      <c r="M44" s="7"/>
      <c r="N44" s="6">
        <f>TableYigaelUSA[[#This Row],[Sell Value]]-TableYigaelUSA[[#This Row],[Buy Value]] +TableYigaelUSA[[#This Row],[Dividand]]</f>
        <v>786</v>
      </c>
      <c r="O44" s="6"/>
    </row>
    <row r="45" spans="1:20" ht="15.75" x14ac:dyDescent="0.25">
      <c r="A45" s="6" t="str" cm="1">
        <f t="array" aca="1" ref="A45" ca="1">_FV(TableYigaelUSA[[#This Row],[Instrumant]],"Ticker symbol",TRUE)</f>
        <v>MU</v>
      </c>
      <c r="B45" s="9" t="e" vm="18">
        <v>#VALUE!</v>
      </c>
      <c r="C45" s="9">
        <v>45383</v>
      </c>
      <c r="D45" s="9">
        <v>45385</v>
      </c>
      <c r="E45" s="7">
        <v>123.45</v>
      </c>
      <c r="F45" s="7">
        <v>127.35</v>
      </c>
      <c r="G45" s="8" cm="1">
        <f t="array" aca="1" ref="G45" ca="1">_FV(TableYigaelUSA[[#This Row],[Instrumant]],"Price")</f>
        <v>127.25</v>
      </c>
      <c r="H45" s="6">
        <v>100</v>
      </c>
      <c r="I45" s="6">
        <f>TableYigaelUSA[[#This Row],[Buy Price]]*TableYigaelUSA[[#This Row],[Order ammount]]</f>
        <v>12345</v>
      </c>
      <c r="J45" s="6">
        <f>TableYigaelUSA[[#This Row],[Sell Price]]*TableYigaelUSA[[#This Row],[Order ammount]]</f>
        <v>12735</v>
      </c>
      <c r="K45" s="8">
        <f ca="1">TableYigaelUSA[[#This Row],[Current Price]]*TableYigaelUSA[[#This Row],[Order ammount]]</f>
        <v>12725</v>
      </c>
      <c r="L45" s="6"/>
      <c r="M45" s="7"/>
      <c r="N45" s="6">
        <f>TableYigaelUSA[[#This Row],[Sell Value]]-TableYigaelUSA[[#This Row],[Buy Value]] +TableYigaelUSA[[#This Row],[Dividand]]</f>
        <v>390</v>
      </c>
      <c r="O45" s="6"/>
    </row>
    <row r="46" spans="1:20" ht="15.75" x14ac:dyDescent="0.25">
      <c r="A46" s="6" t="str" cm="1">
        <f t="array" aca="1" ref="A46" ca="1">_FV(TableYigaelUSA[[#This Row],[Instrumant]],"Ticker symbol",TRUE)</f>
        <v>MU</v>
      </c>
      <c r="B46" s="9" t="e" vm="18">
        <v>#VALUE!</v>
      </c>
      <c r="C46" s="9">
        <v>45385</v>
      </c>
      <c r="D46" s="9">
        <v>45385</v>
      </c>
      <c r="E46" s="7">
        <v>126.6</v>
      </c>
      <c r="F46" s="7">
        <v>127.38</v>
      </c>
      <c r="G46" s="8" cm="1">
        <f t="array" aca="1" ref="G46" ca="1">_FV(TableYigaelUSA[[#This Row],[Instrumant]],"Price")</f>
        <v>127.25</v>
      </c>
      <c r="H46" s="6">
        <v>300</v>
      </c>
      <c r="I46" s="6">
        <f>TableYigaelUSA[[#This Row],[Buy Price]]*TableYigaelUSA[[#This Row],[Order ammount]]</f>
        <v>37980</v>
      </c>
      <c r="J46" s="6">
        <f>TableYigaelUSA[[#This Row],[Sell Price]]*TableYigaelUSA[[#This Row],[Order ammount]]</f>
        <v>38214</v>
      </c>
      <c r="K46" s="8">
        <f ca="1">TableYigaelUSA[[#This Row],[Current Price]]*TableYigaelUSA[[#This Row],[Order ammount]]</f>
        <v>38175</v>
      </c>
      <c r="L46" s="6"/>
      <c r="M46" s="7"/>
      <c r="N46" s="6">
        <f>TableYigaelUSA[[#This Row],[Sell Value]]-TableYigaelUSA[[#This Row],[Buy Value]] +TableYigaelUSA[[#This Row],[Dividand]]</f>
        <v>234</v>
      </c>
      <c r="O46" s="6"/>
    </row>
    <row r="47" spans="1:20" ht="15.75" x14ac:dyDescent="0.25">
      <c r="A47" s="6" t="str" cm="1">
        <f t="array" aca="1" ref="A47" ca="1">_FV(TableYigaelUSA[[#This Row],[Instrumant]],"Ticker symbol",TRUE)</f>
        <v>GOOGL</v>
      </c>
      <c r="B47" s="9" t="e" vm="16">
        <v>#VALUE!</v>
      </c>
      <c r="C47" s="9">
        <v>45376</v>
      </c>
      <c r="D47" s="9">
        <v>45386</v>
      </c>
      <c r="E47" s="7">
        <v>148.535</v>
      </c>
      <c r="F47" s="7">
        <v>153.84</v>
      </c>
      <c r="G47" s="8" cm="1">
        <f t="array" aca="1" ref="G47" ca="1">_FV(TableYigaelUSA[[#This Row],[Instrumant]],"Price")</f>
        <v>170.68</v>
      </c>
      <c r="H47" s="6">
        <v>100</v>
      </c>
      <c r="I47" s="6">
        <f>TableYigaelUSA[[#This Row],[Buy Price]]*TableYigaelUSA[[#This Row],[Order ammount]]</f>
        <v>14853.5</v>
      </c>
      <c r="J47" s="6">
        <f>TableYigaelUSA[[#This Row],[Sell Price]]*TableYigaelUSA[[#This Row],[Order ammount]]</f>
        <v>15384</v>
      </c>
      <c r="K47" s="8">
        <f ca="1">TableYigaelUSA[[#This Row],[Current Price]]*TableYigaelUSA[[#This Row],[Order ammount]]</f>
        <v>17068</v>
      </c>
      <c r="L47" s="6"/>
      <c r="M47" s="7"/>
      <c r="N47" s="6">
        <f>TableYigaelUSA[[#This Row],[Sell Value]]-TableYigaelUSA[[#This Row],[Buy Value]] +TableYigaelUSA[[#This Row],[Dividand]]</f>
        <v>530.5</v>
      </c>
      <c r="O47" s="6"/>
    </row>
    <row r="48" spans="1:20" ht="15.75" x14ac:dyDescent="0.25">
      <c r="A48" s="6" t="str" cm="1">
        <f t="array" aca="1" ref="A48" ca="1">_FV(TableYigaelUSA[[#This Row],[Instrumant]],"Ticker symbol",TRUE)</f>
        <v>GOOGL</v>
      </c>
      <c r="B48" s="9" t="e" vm="16">
        <v>#VALUE!</v>
      </c>
      <c r="C48" s="9">
        <v>45376</v>
      </c>
      <c r="D48" s="7">
        <v>45386</v>
      </c>
      <c r="E48" s="7">
        <v>148.535</v>
      </c>
      <c r="F48" s="7">
        <v>154.31</v>
      </c>
      <c r="G48" s="8" cm="1">
        <f t="array" aca="1" ref="G48" ca="1">_FV(TableYigaelUSA[[#This Row],[Instrumant]],"Price")</f>
        <v>170.68</v>
      </c>
      <c r="H48" s="6">
        <v>100</v>
      </c>
      <c r="I48" s="6">
        <f>TableYigaelUSA[[#This Row],[Buy Price]]*TableYigaelUSA[[#This Row],[Order ammount]]</f>
        <v>14853.5</v>
      </c>
      <c r="J48" s="6">
        <f>TableYigaelUSA[[#This Row],[Sell Price]]*TableYigaelUSA[[#This Row],[Order ammount]]</f>
        <v>15431</v>
      </c>
      <c r="K48" s="8">
        <f ca="1">TableYigaelUSA[[#This Row],[Current Price]]*TableYigaelUSA[[#This Row],[Order ammount]]</f>
        <v>17068</v>
      </c>
      <c r="L48" s="6"/>
      <c r="M48" s="7">
        <f ca="1">TableYigaelUSA[[#This Row],[Current Value]]-TableYigaelUSA[[#This Row],[Buy Value]] +TableYigaelUSA[[#This Row],[Dividand]]</f>
        <v>2214.5</v>
      </c>
      <c r="N48" s="6">
        <f>TableYigaelUSA[[#This Row],[Sell Value]]-TableYigaelUSA[[#This Row],[Buy Value]] +TableYigaelUSA[[#This Row],[Dividand]]</f>
        <v>577.5</v>
      </c>
      <c r="O48" s="6"/>
    </row>
    <row r="49" spans="1:15" ht="15.75" x14ac:dyDescent="0.25">
      <c r="A49" s="6" t="str" cm="1">
        <f t="array" aca="1" ref="A49" ca="1">_FV(TableYigaelUSA[[#This Row],[Instrumant]],"Ticker symbol",TRUE)</f>
        <v>TSM</v>
      </c>
      <c r="B49" s="9" t="e" vm="10">
        <v>#VALUE!</v>
      </c>
      <c r="C49" s="9">
        <v>45359</v>
      </c>
      <c r="D49" s="9">
        <v>45386</v>
      </c>
      <c r="E49" s="7">
        <v>146.88499999999999</v>
      </c>
      <c r="F49" s="7">
        <v>144.57900000000001</v>
      </c>
      <c r="G49" s="8" cm="1">
        <f t="array" aca="1" ref="G49" ca="1">_FV(TableYigaelUSA[[#This Row],[Instrumant]],"Price")</f>
        <v>222.74</v>
      </c>
      <c r="H49" s="6">
        <v>200</v>
      </c>
      <c r="I49" s="6">
        <f>TableYigaelUSA[[#This Row],[Buy Price]]*TableYigaelUSA[[#This Row],[Order ammount]]</f>
        <v>29377</v>
      </c>
      <c r="J49" s="6">
        <f>TableYigaelUSA[[#This Row],[Sell Price]]*TableYigaelUSA[[#This Row],[Order ammount]]</f>
        <v>28915.800000000003</v>
      </c>
      <c r="K49" s="8">
        <f ca="1">TableYigaelUSA[[#This Row],[Current Price]]*TableYigaelUSA[[#This Row],[Order ammount]]</f>
        <v>44548</v>
      </c>
      <c r="L49" s="6"/>
      <c r="M49" s="7"/>
      <c r="N49" s="6">
        <f>TableYigaelUSA[[#This Row],[Sell Value]]-TableYigaelUSA[[#This Row],[Buy Value]] +TableYigaelUSA[[#This Row],[Dividand]]</f>
        <v>-461.19999999999709</v>
      </c>
      <c r="O49" s="6"/>
    </row>
    <row r="50" spans="1:15" ht="15.75" x14ac:dyDescent="0.25">
      <c r="A50" s="6" t="str" cm="1">
        <f t="array" aca="1" ref="A50" ca="1">_FV(TableYigaelUSA[[#This Row],[Instrumant]],"Ticker symbol",TRUE)</f>
        <v>AMD</v>
      </c>
      <c r="B50" s="9" t="e" vm="9">
        <v>#VALUE!</v>
      </c>
      <c r="C50" s="9">
        <v>45359</v>
      </c>
      <c r="D50" s="9">
        <v>45390</v>
      </c>
      <c r="E50" s="7">
        <v>183.32</v>
      </c>
      <c r="F50" s="7">
        <v>169.88</v>
      </c>
      <c r="G50" s="8" cm="1">
        <f t="array" aca="1" ref="G50" ca="1">_FV(TableYigaelUSA[[#This Row],[Instrumant]],"Price")</f>
        <v>143.4</v>
      </c>
      <c r="H50" s="6">
        <v>650</v>
      </c>
      <c r="I50" s="6">
        <f>TableYigaelUSA[[#This Row],[Buy Price]]*TableYigaelUSA[[#This Row],[Order ammount]]</f>
        <v>119158</v>
      </c>
      <c r="J50" s="6">
        <f>TableYigaelUSA[[#This Row],[Sell Price]]*TableYigaelUSA[[#This Row],[Order ammount]]</f>
        <v>110422</v>
      </c>
      <c r="K50" s="8">
        <f ca="1">TableYigaelUSA[[#This Row],[Current Price]]*TableYigaelUSA[[#This Row],[Order ammount]]</f>
        <v>93210</v>
      </c>
      <c r="L50" s="6"/>
      <c r="M50" s="7"/>
      <c r="N50" s="6">
        <f>TableYigaelUSA[[#This Row],[Sell Value]]-TableYigaelUSA[[#This Row],[Buy Value]] +TableYigaelUSA[[#This Row],[Dividand]]</f>
        <v>-8736</v>
      </c>
      <c r="O50" s="6"/>
    </row>
    <row r="51" spans="1:15" ht="15.75" x14ac:dyDescent="0.25">
      <c r="A51" s="6" t="str" cm="1">
        <f t="array" aca="1" ref="A51" ca="1">_FV(TableYigaelUSA[[#This Row],[Instrumant]],"Ticker symbol",TRUE)</f>
        <v>SMCI</v>
      </c>
      <c r="B51" s="9" t="e" vm="11">
        <v>#VALUE!</v>
      </c>
      <c r="C51" s="9">
        <v>45377</v>
      </c>
      <c r="D51" s="9">
        <v>45390</v>
      </c>
      <c r="E51" s="7">
        <v>1007.62</v>
      </c>
      <c r="F51" s="7">
        <v>930.39</v>
      </c>
      <c r="G51" s="8" cm="1">
        <f t="array" aca="1" ref="G51" ca="1">_FV(TableYigaelUSA[[#This Row],[Instrumant]],"Price")</f>
        <v>46.61</v>
      </c>
      <c r="H51" s="6">
        <v>60</v>
      </c>
      <c r="I51" s="6">
        <f>TableYigaelUSA[[#This Row],[Buy Price]]*TableYigaelUSA[[#This Row],[Order ammount]]</f>
        <v>60457.2</v>
      </c>
      <c r="J51" s="6">
        <f>TableYigaelUSA[[#This Row],[Sell Price]]*TableYigaelUSA[[#This Row],[Order ammount]]</f>
        <v>55823.4</v>
      </c>
      <c r="K51" s="8">
        <f ca="1">TableYigaelUSA[[#This Row],[Current Price]]*TableYigaelUSA[[#This Row],[Order ammount]]</f>
        <v>2796.6</v>
      </c>
      <c r="L51" s="6"/>
      <c r="M51" s="7"/>
      <c r="N51" s="6">
        <f>TableYigaelUSA[[#This Row],[Sell Value]]-TableYigaelUSA[[#This Row],[Buy Value]] +TableYigaelUSA[[#This Row],[Dividand]]</f>
        <v>-4633.7999999999956</v>
      </c>
      <c r="O51" s="6"/>
    </row>
    <row r="52" spans="1:15" ht="15.75" x14ac:dyDescent="0.25">
      <c r="A52" s="6" t="str" cm="1">
        <f t="array" aca="1" ref="A52" ca="1">_FV(TableYigaelUSA[[#This Row],[Instrumant]],"Ticker symbol",TRUE)</f>
        <v>NVDA</v>
      </c>
      <c r="B52" s="9" t="e" vm="2">
        <v>#VALUE!</v>
      </c>
      <c r="C52" s="9">
        <v>45385</v>
      </c>
      <c r="D52" s="9">
        <v>45390</v>
      </c>
      <c r="E52" s="7">
        <v>899.21</v>
      </c>
      <c r="F52" s="7">
        <v>869.98</v>
      </c>
      <c r="G52" s="8" cm="1">
        <f t="array" aca="1" ref="G52" ca="1">_FV(TableYigaelUSA[[#This Row],[Instrumant]],"Price")</f>
        <v>154.31</v>
      </c>
      <c r="H52" s="6">
        <v>60</v>
      </c>
      <c r="I52" s="6">
        <f>TableYigaelUSA[[#This Row],[Buy Price]]*TableYigaelUSA[[#This Row],[Order ammount]]</f>
        <v>53952.600000000006</v>
      </c>
      <c r="J52" s="6">
        <f>TableYigaelUSA[[#This Row],[Sell Price]]*TableYigaelUSA[[#This Row],[Order ammount]]</f>
        <v>52198.8</v>
      </c>
      <c r="K52" s="8">
        <f ca="1">TableYigaelUSA[[#This Row],[Current Price]]*TableYigaelUSA[[#This Row],[Order ammount]]</f>
        <v>9258.6</v>
      </c>
      <c r="L52" s="6"/>
      <c r="M52" s="7"/>
      <c r="N52" s="6">
        <f>TableYigaelUSA[[#This Row],[Sell Value]]-TableYigaelUSA[[#This Row],[Buy Value]] +TableYigaelUSA[[#This Row],[Dividand]]</f>
        <v>-1753.8000000000029</v>
      </c>
      <c r="O52" s="6"/>
    </row>
    <row r="53" spans="1:15" ht="15.75" x14ac:dyDescent="0.25">
      <c r="A53" s="6" t="s">
        <v>44</v>
      </c>
      <c r="B53" s="9" t="s">
        <v>61</v>
      </c>
      <c r="C53" s="9">
        <v>45386</v>
      </c>
      <c r="D53" s="9">
        <v>45468</v>
      </c>
      <c r="E53" s="7">
        <v>40.07</v>
      </c>
      <c r="F53" s="7">
        <v>35.090000000000003</v>
      </c>
      <c r="G53" s="7"/>
      <c r="H53" s="6">
        <v>3900</v>
      </c>
      <c r="I53" s="6">
        <f>TableYigaelUSA[[#This Row],[Buy Price]]*TableYigaelUSA[[#This Row],[Order ammount]]</f>
        <v>156273</v>
      </c>
      <c r="J53" s="6">
        <f>TableYigaelUSA[[#This Row],[Sell Price]]*TableYigaelUSA[[#This Row],[Order ammount]]</f>
        <v>136851</v>
      </c>
      <c r="K53" s="8">
        <f>TableYigaelUSA[[#This Row],[Current Price]]*TableYigaelUSA[[#This Row],[Order ammount]]</f>
        <v>0</v>
      </c>
      <c r="L53" s="6"/>
      <c r="M53" s="7"/>
      <c r="N53" s="6">
        <f>TableYigaelUSA[[#This Row],[Sell Value]]-TableYigaelUSA[[#This Row],[Buy Value]] +TableYigaelUSA[[#This Row],[Dividand]]</f>
        <v>-19422</v>
      </c>
      <c r="O53" s="6"/>
    </row>
    <row r="54" spans="1:15" ht="15.75" x14ac:dyDescent="0.25">
      <c r="A54" s="6" t="str" cm="1">
        <f t="array" aca="1" ref="A54" ca="1">_FV(TableYigaelUSA[[#This Row],[Instrumant]],"Ticker symbol",TRUE)</f>
        <v>SMCI</v>
      </c>
      <c r="B54" s="9" t="e" vm="11">
        <v>#VALUE!</v>
      </c>
      <c r="C54" s="9">
        <v>45468</v>
      </c>
      <c r="D54" s="9">
        <v>45485</v>
      </c>
      <c r="E54" s="7">
        <v>851.42499999999995</v>
      </c>
      <c r="F54" s="7">
        <v>920.37</v>
      </c>
      <c r="G54" s="8" cm="1">
        <f t="array" aca="1" ref="G54" ca="1">_FV(TableYigaelUSA[[#This Row],[Instrumant]],"Price")</f>
        <v>46.61</v>
      </c>
      <c r="H54" s="6">
        <v>200</v>
      </c>
      <c r="I54" s="6">
        <f>TableYigaelUSA[[#This Row],[Buy Price]]*TableYigaelUSA[[#This Row],[Order ammount]]</f>
        <v>170285</v>
      </c>
      <c r="J54" s="6">
        <f>TableYigaelUSA[[#This Row],[Sell Price]]*TableYigaelUSA[[#This Row],[Order ammount]]</f>
        <v>184074</v>
      </c>
      <c r="K54" s="8">
        <f ca="1">TableYigaelUSA[[#This Row],[Current Price]]*TableYigaelUSA[[#This Row],[Order ammount]]</f>
        <v>9322</v>
      </c>
      <c r="L54" s="6"/>
      <c r="M54" s="7"/>
      <c r="N54" s="6">
        <f>TableYigaelUSA[[#This Row],[Sell Value]]-TableYigaelUSA[[#This Row],[Buy Value]] +TableYigaelUSA[[#This Row],[Dividand]]</f>
        <v>13789</v>
      </c>
      <c r="O54" s="6"/>
    </row>
    <row r="55" spans="1:15" x14ac:dyDescent="0.25">
      <c r="M55" s="2"/>
    </row>
    <row r="56" spans="1:15" x14ac:dyDescent="0.25">
      <c r="M56" s="2"/>
    </row>
    <row r="57" spans="1:15" x14ac:dyDescent="0.25">
      <c r="M57" s="2"/>
    </row>
    <row r="58" spans="1:15" x14ac:dyDescent="0.25">
      <c r="M58" s="2"/>
    </row>
    <row r="59" spans="1:15" x14ac:dyDescent="0.25">
      <c r="M59" s="2"/>
    </row>
    <row r="60" spans="1:15" x14ac:dyDescent="0.25">
      <c r="M60" s="2"/>
    </row>
    <row r="61" spans="1:15" x14ac:dyDescent="0.25">
      <c r="M61" s="2"/>
    </row>
    <row r="62" spans="1:15" x14ac:dyDescent="0.25">
      <c r="M62" s="2"/>
    </row>
    <row r="63" spans="1:15" x14ac:dyDescent="0.25">
      <c r="M63" s="2"/>
    </row>
    <row r="64" spans="1:15" x14ac:dyDescent="0.25">
      <c r="M64" s="2"/>
    </row>
    <row r="65" spans="13:13" x14ac:dyDescent="0.25">
      <c r="M65" s="2"/>
    </row>
    <row r="66" spans="13:13" x14ac:dyDescent="0.25">
      <c r="M66" s="2"/>
    </row>
    <row r="67" spans="13:13" x14ac:dyDescent="0.25">
      <c r="M67" s="2"/>
    </row>
    <row r="68" spans="13:13" x14ac:dyDescent="0.25">
      <c r="M68" s="2"/>
    </row>
    <row r="69" spans="13:13" x14ac:dyDescent="0.25">
      <c r="M69" s="2"/>
    </row>
    <row r="70" spans="13:13" x14ac:dyDescent="0.25">
      <c r="M70" s="2"/>
    </row>
    <row r="71" spans="13:13" x14ac:dyDescent="0.25">
      <c r="M71" s="2"/>
    </row>
    <row r="72" spans="13:13" x14ac:dyDescent="0.25">
      <c r="M72" s="2"/>
    </row>
    <row r="73" spans="13:13" x14ac:dyDescent="0.25">
      <c r="M73" s="2"/>
    </row>
    <row r="74" spans="13:13" x14ac:dyDescent="0.25">
      <c r="M74" s="2"/>
    </row>
    <row r="75" spans="13:13" x14ac:dyDescent="0.25">
      <c r="M75" s="2"/>
    </row>
    <row r="76" spans="13:13" x14ac:dyDescent="0.25">
      <c r="M76" s="2"/>
    </row>
    <row r="77" spans="13:13" x14ac:dyDescent="0.25">
      <c r="M77" s="2"/>
    </row>
    <row r="78" spans="13:13" x14ac:dyDescent="0.25">
      <c r="M78" s="2"/>
    </row>
    <row r="79" spans="13:13" x14ac:dyDescent="0.25">
      <c r="M79" s="2"/>
    </row>
    <row r="80" spans="13:13" x14ac:dyDescent="0.25">
      <c r="M80" s="2"/>
    </row>
    <row r="81" spans="13:13" x14ac:dyDescent="0.25">
      <c r="M81"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A50A5-F6E2-4622-9149-A5B6D7EB8CDF}">
  <dimension ref="A1:D20"/>
  <sheetViews>
    <sheetView workbookViewId="0">
      <selection activeCell="B7" sqref="B7"/>
    </sheetView>
  </sheetViews>
  <sheetFormatPr defaultRowHeight="15" x14ac:dyDescent="0.25"/>
  <cols>
    <col min="1" max="1" width="15.140625" bestFit="1" customWidth="1"/>
  </cols>
  <sheetData>
    <row r="1" spans="1:4" x14ac:dyDescent="0.25">
      <c r="A1" t="s">
        <v>62</v>
      </c>
    </row>
    <row r="2" spans="1:4" x14ac:dyDescent="0.25">
      <c r="A2" t="s">
        <v>63</v>
      </c>
      <c r="B2">
        <f>Starting_cache_Yigael_USA</f>
        <v>70000</v>
      </c>
    </row>
    <row r="3" spans="1:4" x14ac:dyDescent="0.25">
      <c r="A3" t="s">
        <v>64</v>
      </c>
      <c r="B3">
        <f>Unreqlized_Profit_Yigael_USA</f>
        <v>0</v>
      </c>
    </row>
    <row r="4" spans="1:4" x14ac:dyDescent="0.25">
      <c r="A4" t="s">
        <v>65</v>
      </c>
      <c r="B4">
        <f xml:space="preserve"> Realized_Profit_Yigael_USA</f>
        <v>27243.765539999993</v>
      </c>
    </row>
    <row r="5" spans="1:4" x14ac:dyDescent="0.25">
      <c r="A5" s="16" t="s">
        <v>66</v>
      </c>
      <c r="B5" s="16">
        <f>Realized_and_Unrealized_Profit_Yigael_USA</f>
        <v>27243.765539999993</v>
      </c>
    </row>
    <row r="6" spans="1:4" x14ac:dyDescent="0.25">
      <c r="A6" s="16" t="s">
        <v>67</v>
      </c>
      <c r="B6" s="16">
        <f>Profit_Percent_Yigael_USA</f>
        <v>38.919665057142851</v>
      </c>
    </row>
    <row r="7" spans="1:4" x14ac:dyDescent="0.25">
      <c r="A7" t="s">
        <v>68</v>
      </c>
      <c r="B7">
        <f ca="1">Realized_and_Unrealized_Profit_Yigael_USA*USD_ILS_Price</f>
        <v>92536.174033163974</v>
      </c>
    </row>
    <row r="9" spans="1:4" x14ac:dyDescent="0.25">
      <c r="A9" t="s">
        <v>69</v>
      </c>
    </row>
    <row r="10" spans="1:4" x14ac:dyDescent="0.25">
      <c r="A10" t="s">
        <v>70</v>
      </c>
      <c r="B10" t="s">
        <v>71</v>
      </c>
      <c r="C10" t="s">
        <v>72</v>
      </c>
      <c r="D10" t="s">
        <v>73</v>
      </c>
    </row>
    <row r="11" spans="1:4" x14ac:dyDescent="0.25">
      <c r="A11" s="17">
        <v>45327</v>
      </c>
      <c r="B11">
        <v>125087</v>
      </c>
    </row>
    <row r="12" spans="1:4" x14ac:dyDescent="0.25">
      <c r="A12" s="17">
        <v>45376</v>
      </c>
      <c r="B12">
        <v>166881</v>
      </c>
      <c r="C12">
        <f>B12-B11</f>
        <v>41794</v>
      </c>
      <c r="D12">
        <f>(C12/B11)*100</f>
        <v>33.411945286080886</v>
      </c>
    </row>
    <row r="13" spans="1:4" x14ac:dyDescent="0.25">
      <c r="A13" s="17"/>
    </row>
    <row r="14" spans="1:4" x14ac:dyDescent="0.25">
      <c r="A14" s="17"/>
    </row>
    <row r="15" spans="1:4" x14ac:dyDescent="0.25">
      <c r="A15" s="17"/>
    </row>
    <row r="16" spans="1:4" x14ac:dyDescent="0.25">
      <c r="A16" s="17"/>
    </row>
    <row r="17" spans="1:1" x14ac:dyDescent="0.25">
      <c r="A17" s="17"/>
    </row>
    <row r="18" spans="1:1" x14ac:dyDescent="0.25">
      <c r="A18" s="17"/>
    </row>
    <row r="19" spans="1:1" x14ac:dyDescent="0.25">
      <c r="A19" s="17"/>
    </row>
    <row r="20" spans="1:1" x14ac:dyDescent="0.25">
      <c r="A20"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B7856-52C9-4565-B4A5-A99CBE942F9E}">
  <dimension ref="A1:C32"/>
  <sheetViews>
    <sheetView workbookViewId="0">
      <selection activeCell="B4" sqref="B4"/>
    </sheetView>
  </sheetViews>
  <sheetFormatPr defaultRowHeight="15" x14ac:dyDescent="0.25"/>
  <cols>
    <col min="1" max="1" width="10.7109375" bestFit="1" customWidth="1"/>
    <col min="2" max="2" width="30.28515625" bestFit="1" customWidth="1"/>
  </cols>
  <sheetData>
    <row r="1" spans="1:3" x14ac:dyDescent="0.25">
      <c r="A1" s="1" t="s">
        <v>70</v>
      </c>
      <c r="B1" t="s">
        <v>74</v>
      </c>
      <c r="C1" t="s">
        <v>75</v>
      </c>
    </row>
    <row r="2" spans="1:3" x14ac:dyDescent="0.25">
      <c r="A2" s="1">
        <v>45364</v>
      </c>
      <c r="B2" t="s">
        <v>76</v>
      </c>
    </row>
    <row r="3" spans="1:3" x14ac:dyDescent="0.25">
      <c r="A3" s="1">
        <v>45364</v>
      </c>
      <c r="B3" t="s">
        <v>77</v>
      </c>
    </row>
    <row r="4" spans="1:3" x14ac:dyDescent="0.25">
      <c r="A4" s="1"/>
    </row>
    <row r="5" spans="1:3" x14ac:dyDescent="0.25">
      <c r="A5" s="1"/>
    </row>
    <row r="6" spans="1:3" x14ac:dyDescent="0.25">
      <c r="A6" s="1"/>
    </row>
    <row r="7" spans="1:3" x14ac:dyDescent="0.25">
      <c r="A7" s="1"/>
    </row>
    <row r="8" spans="1:3" x14ac:dyDescent="0.25">
      <c r="A8" s="1"/>
    </row>
    <row r="9" spans="1:3" x14ac:dyDescent="0.25">
      <c r="A9" s="1"/>
    </row>
    <row r="10" spans="1:3" x14ac:dyDescent="0.25">
      <c r="A10" s="1"/>
    </row>
    <row r="11" spans="1:3" x14ac:dyDescent="0.25">
      <c r="A11" s="1"/>
    </row>
    <row r="12" spans="1:3" x14ac:dyDescent="0.25">
      <c r="A12" s="1"/>
    </row>
    <row r="13" spans="1:3" x14ac:dyDescent="0.25">
      <c r="A13" s="1"/>
    </row>
    <row r="14" spans="1:3" x14ac:dyDescent="0.25">
      <c r="A14" s="1"/>
    </row>
    <row r="15" spans="1:3" x14ac:dyDescent="0.25">
      <c r="A15" s="1"/>
    </row>
    <row r="16" spans="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2FE1-8350-4E2C-896F-37AD3790840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6E3A1-3F97-48EB-A33F-62111030C8BD}">
  <dimension ref="A1:N10"/>
  <sheetViews>
    <sheetView workbookViewId="0">
      <selection activeCell="A11" sqref="A11"/>
    </sheetView>
  </sheetViews>
  <sheetFormatPr defaultRowHeight="15" x14ac:dyDescent="0.25"/>
  <cols>
    <col min="1" max="1" width="16.140625" bestFit="1" customWidth="1"/>
    <col min="2" max="2" width="11.140625" bestFit="1" customWidth="1"/>
    <col min="3" max="3" width="12.5703125" bestFit="1" customWidth="1"/>
    <col min="4" max="4" width="12.5703125" customWidth="1"/>
    <col min="5" max="5" width="13.28515625" bestFit="1" customWidth="1"/>
    <col min="6" max="6" width="17.5703125" bestFit="1" customWidth="1"/>
    <col min="7" max="7" width="14" bestFit="1" customWidth="1"/>
    <col min="8" max="8" width="20.28515625" bestFit="1" customWidth="1"/>
    <col min="10" max="10" width="20.42578125" bestFit="1" customWidth="1"/>
    <col min="11" max="11" width="12.85546875" bestFit="1" customWidth="1"/>
  </cols>
  <sheetData>
    <row r="1" spans="1:14" x14ac:dyDescent="0.25">
      <c r="A1" t="s">
        <v>0</v>
      </c>
      <c r="B1" t="s">
        <v>1</v>
      </c>
      <c r="C1" t="s">
        <v>2</v>
      </c>
      <c r="D1" t="s">
        <v>3</v>
      </c>
      <c r="E1" t="s">
        <v>4</v>
      </c>
      <c r="F1" t="s">
        <v>51</v>
      </c>
      <c r="G1" t="s">
        <v>6</v>
      </c>
      <c r="H1" t="s">
        <v>7</v>
      </c>
      <c r="I1" t="s">
        <v>10</v>
      </c>
      <c r="J1" t="s">
        <v>54</v>
      </c>
      <c r="K1" t="s">
        <v>55</v>
      </c>
      <c r="M1" t="s">
        <v>13</v>
      </c>
      <c r="N1">
        <f>SUM(OrdersKerenIsrael[Profit Loss on close])</f>
        <v>-16611.518399999972</v>
      </c>
    </row>
    <row r="2" spans="1:14" x14ac:dyDescent="0.25">
      <c r="A2" t="s">
        <v>78</v>
      </c>
      <c r="B2" s="1">
        <v>45208</v>
      </c>
      <c r="C2" s="1">
        <v>45259</v>
      </c>
      <c r="D2">
        <v>2860</v>
      </c>
      <c r="E2">
        <v>2880</v>
      </c>
      <c r="F2">
        <v>6897</v>
      </c>
      <c r="G2">
        <f>OrdersKerenIsrael[[#This Row],[Buy Price]]*OrdersKerenIsrael[[#This Row],[Order ammount]]/100</f>
        <v>197254.2</v>
      </c>
      <c r="H2">
        <f>OrdersKerenIsrael[[#This Row],[Sell Price]]*OrdersKerenIsrael[[#This Row],[Order ammount]]/100</f>
        <v>198633.60000000001</v>
      </c>
      <c r="J2">
        <f>OrdersKerenIsrael[[#This Row],[Sell Value]]-OrdersKerenIsrael[[#This Row],[Buy Value]]+OrdersKerenIsrael[[#This Row],[Dividand]]</f>
        <v>1379.3999999999942</v>
      </c>
    </row>
    <row r="3" spans="1:14" x14ac:dyDescent="0.25">
      <c r="A3" t="s">
        <v>78</v>
      </c>
      <c r="B3" s="1">
        <v>45260</v>
      </c>
      <c r="C3" s="1">
        <v>45279</v>
      </c>
      <c r="D3">
        <v>2789.44</v>
      </c>
      <c r="E3">
        <v>2845</v>
      </c>
      <c r="F3">
        <v>3201</v>
      </c>
      <c r="G3">
        <f>OrdersKerenIsrael[[#This Row],[Buy Price]]*OrdersKerenIsrael[[#This Row],[Order ammount]]/100</f>
        <v>89289.974399999992</v>
      </c>
      <c r="H3">
        <f>OrdersKerenIsrael[[#This Row],[Sell Price]]*OrdersKerenIsrael[[#This Row],[Order ammount]]/100</f>
        <v>91068.45</v>
      </c>
      <c r="I3">
        <v>557.14</v>
      </c>
      <c r="J3">
        <f>OrdersKerenIsrael[[#This Row],[Sell Value]]-OrdersKerenIsrael[[#This Row],[Buy Value]]+OrdersKerenIsrael[[#This Row],[Dividand]]</f>
        <v>2335.6156000000051</v>
      </c>
    </row>
    <row r="4" spans="1:14" x14ac:dyDescent="0.25">
      <c r="A4" t="s">
        <v>21</v>
      </c>
      <c r="B4" s="1">
        <v>45279</v>
      </c>
      <c r="C4" s="1">
        <v>45280</v>
      </c>
      <c r="D4">
        <v>3192.61</v>
      </c>
      <c r="E4">
        <v>3269</v>
      </c>
      <c r="F4">
        <v>4500</v>
      </c>
      <c r="G4">
        <f>OrdersKerenIsrael[[#This Row],[Buy Price]]*OrdersKerenIsrael[[#This Row],[Order ammount]]/100</f>
        <v>143667.45000000001</v>
      </c>
      <c r="H4">
        <f>OrdersKerenIsrael[[#This Row],[Sell Price]]*OrdersKerenIsrael[[#This Row],[Order ammount]]/100</f>
        <v>147105</v>
      </c>
      <c r="J4">
        <f>OrdersKerenIsrael[[#This Row],[Sell Value]]-OrdersKerenIsrael[[#This Row],[Buy Value]]+OrdersKerenIsrael[[#This Row],[Dividand]]</f>
        <v>3437.5499999999884</v>
      </c>
    </row>
    <row r="5" spans="1:14" x14ac:dyDescent="0.25">
      <c r="A5" t="s">
        <v>79</v>
      </c>
      <c r="B5" s="1">
        <v>45260</v>
      </c>
      <c r="C5" s="1">
        <v>45285</v>
      </c>
      <c r="D5">
        <v>1812.91</v>
      </c>
      <c r="E5">
        <v>1848</v>
      </c>
      <c r="F5">
        <v>4930</v>
      </c>
      <c r="G5">
        <f>OrdersKerenIsrael[[#This Row],[Buy Price]]*OrdersKerenIsrael[[#This Row],[Order ammount]]/100</f>
        <v>89376.463000000003</v>
      </c>
      <c r="H5">
        <f>OrdersKerenIsrael[[#This Row],[Sell Price]]*OrdersKerenIsrael[[#This Row],[Order ammount]]/100</f>
        <v>91106.4</v>
      </c>
      <c r="I5">
        <v>366</v>
      </c>
      <c r="J5">
        <f>OrdersKerenIsrael[[#This Row],[Sell Value]]-OrdersKerenIsrael[[#This Row],[Buy Value]]+OrdersKerenIsrael[[#This Row],[Dividand]]</f>
        <v>2095.9369999999908</v>
      </c>
    </row>
    <row r="6" spans="1:14" x14ac:dyDescent="0.25">
      <c r="A6" t="s">
        <v>19</v>
      </c>
      <c r="B6" s="1">
        <v>45280</v>
      </c>
      <c r="C6" s="1">
        <v>45286</v>
      </c>
      <c r="D6" s="2">
        <v>78573.3</v>
      </c>
      <c r="E6" s="2">
        <v>79103.350000000006</v>
      </c>
      <c r="F6" s="2">
        <v>182</v>
      </c>
      <c r="G6">
        <f>OrdersKerenIsrael[[#This Row],[Buy Price]]*OrdersKerenIsrael[[#This Row],[Order ammount]]/100</f>
        <v>143003.40599999999</v>
      </c>
      <c r="H6">
        <f>OrdersKerenIsrael[[#This Row],[Sell Price]]*OrdersKerenIsrael[[#This Row],[Order ammount]]/100</f>
        <v>143968.09700000001</v>
      </c>
      <c r="J6">
        <f>OrdersKerenIsrael[[#This Row],[Sell Value]]-OrdersKerenIsrael[[#This Row],[Buy Value]]+OrdersKerenIsrael[[#This Row],[Dividand]]</f>
        <v>964.69100000002072</v>
      </c>
    </row>
    <row r="7" spans="1:14" x14ac:dyDescent="0.25">
      <c r="A7" t="s">
        <v>21</v>
      </c>
      <c r="B7" s="1">
        <v>45294</v>
      </c>
      <c r="C7" s="1">
        <v>45351</v>
      </c>
      <c r="D7">
        <v>3298.99</v>
      </c>
      <c r="E7">
        <v>3365.27</v>
      </c>
      <c r="F7">
        <v>5416</v>
      </c>
      <c r="G7">
        <f>OrdersKerenIsrael[[#This Row],[Buy Price]]*OrdersKerenIsrael[[#This Row],[Order ammount]]/100</f>
        <v>178673.2984</v>
      </c>
      <c r="H7">
        <f>OrdersKerenIsrael[[#This Row],[Sell Price]]*OrdersKerenIsrael[[#This Row],[Order ammount]]/100</f>
        <v>182263.0232</v>
      </c>
      <c r="J7">
        <f>OrdersKerenIsrael[[#This Row],[Sell Value]]-OrdersKerenIsrael[[#This Row],[Buy Value]]+OrdersKerenIsrael[[#This Row],[Dividand]]</f>
        <v>3589.7247999999963</v>
      </c>
    </row>
    <row r="8" spans="1:14" x14ac:dyDescent="0.25">
      <c r="A8" t="s">
        <v>80</v>
      </c>
      <c r="B8" s="1">
        <v>45298</v>
      </c>
      <c r="C8" s="1">
        <v>45351</v>
      </c>
      <c r="D8">
        <v>2927.78</v>
      </c>
      <c r="E8">
        <v>2942.44</v>
      </c>
      <c r="F8">
        <v>4580</v>
      </c>
      <c r="G8">
        <f>OrdersKerenIsrael[[#This Row],[Buy Price]]*OrdersKerenIsrael[[#This Row],[Order ammount]]/100</f>
        <v>134092.32399999999</v>
      </c>
      <c r="H8">
        <f>OrdersKerenIsrael[[#This Row],[Sell Price]]*OrdersKerenIsrael[[#This Row],[Order ammount]]/100</f>
        <v>134763.75200000001</v>
      </c>
      <c r="J8">
        <f>OrdersKerenIsrael[[#This Row],[Sell Value]]-OrdersKerenIsrael[[#This Row],[Buy Value]]+OrdersKerenIsrael[[#This Row],[Dividand]]</f>
        <v>671.42800000001444</v>
      </c>
    </row>
    <row r="9" spans="1:14" x14ac:dyDescent="0.25">
      <c r="A9" t="s">
        <v>80</v>
      </c>
      <c r="B9" s="1">
        <v>45354</v>
      </c>
      <c r="C9" s="1">
        <v>45377</v>
      </c>
      <c r="D9">
        <v>3017.34</v>
      </c>
      <c r="E9">
        <v>3060.34</v>
      </c>
      <c r="F9">
        <v>7405</v>
      </c>
      <c r="G9">
        <f>OrdersKerenIsrael[[#This Row],[Buy Price]]*OrdersKerenIsrael[[#This Row],[Order ammount]]/100</f>
        <v>223434.027</v>
      </c>
      <c r="H9">
        <f>OrdersKerenIsrael[[#This Row],[Sell Price]]*OrdersKerenIsrael[[#This Row],[Order ammount]]/100</f>
        <v>226618.177</v>
      </c>
      <c r="J9">
        <f>OrdersKerenIsrael[[#This Row],[Sell Value]]-OrdersKerenIsrael[[#This Row],[Buy Value]]+OrdersKerenIsrael[[#This Row],[Dividand]]</f>
        <v>3184.1499999999942</v>
      </c>
    </row>
    <row r="10" spans="1:14" x14ac:dyDescent="0.25">
      <c r="A10" t="s">
        <v>31</v>
      </c>
      <c r="B10" s="1">
        <v>45379</v>
      </c>
      <c r="C10" s="1">
        <v>45540</v>
      </c>
      <c r="D10">
        <v>2396.1</v>
      </c>
      <c r="E10">
        <v>1850.92</v>
      </c>
      <c r="F10">
        <v>6286</v>
      </c>
      <c r="G10">
        <f>OrdersKerenIsrael[[#This Row],[Buy Price]]*OrdersKerenIsrael[[#This Row],[Order ammount]]/100</f>
        <v>150618.84599999999</v>
      </c>
      <c r="H10">
        <f>OrdersKerenIsrael[[#This Row],[Sell Price]]*OrdersKerenIsrael[[#This Row],[Order ammount]]/100</f>
        <v>116348.83120000002</v>
      </c>
      <c r="J10">
        <f>OrdersKerenIsrael[[#This Row],[Sell Value]]-OrdersKerenIsrael[[#This Row],[Buy Value]]+OrdersKerenIsrael[[#This Row],[Dividand]]</f>
        <v>-34270.014799999975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AD770E-7BBA-4B1B-B7EE-A02940165FAD}">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Yigael Isreal</vt:lpstr>
      <vt:lpstr>Yigael USA</vt:lpstr>
      <vt:lpstr>Stats</vt:lpstr>
      <vt:lpstr>Other events</vt:lpstr>
      <vt:lpstr>Yigael USA 2024</vt:lpstr>
      <vt:lpstr>Keren</vt:lpstr>
      <vt:lpstr>nis_Rate_yigael_USA</vt:lpstr>
      <vt:lpstr>Profit_nis_Yigael_USA</vt:lpstr>
      <vt:lpstr>Profit_Percent_Yigael_USA</vt:lpstr>
      <vt:lpstr>Profit_Percentage_Yigael_USA</vt:lpstr>
      <vt:lpstr>Realized_and_Unrealized_Profit_Yigael_USA</vt:lpstr>
      <vt:lpstr>Realized_Profit_Yigael_USA</vt:lpstr>
      <vt:lpstr>Starting_cache_Yigael_USA</vt:lpstr>
      <vt:lpstr>Unreqlized_Profit_Yigael_USA</vt:lpstr>
      <vt:lpstr>USD_ILS_Price</vt:lpstr>
      <vt:lpstr>USD_NIS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Yigael Ben-Natan</dc:creator>
  <cp:keywords/>
  <dc:description/>
  <cp:lastModifiedBy>Yigael Ben-Natan</cp:lastModifiedBy>
  <cp:revision/>
  <dcterms:created xsi:type="dcterms:W3CDTF">2023-06-11T08:43:43Z</dcterms:created>
  <dcterms:modified xsi:type="dcterms:W3CDTF">2025-06-26T10:39:49Z</dcterms:modified>
  <cp:category/>
  <cp:contentStatus/>
</cp:coreProperties>
</file>