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795CB285-2719-48AD-BB00-67AD7161175D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ontrol(WithWF)" sheetId="13" r:id="rId1"/>
    <sheet name="Burn" sheetId="7" r:id="rId2"/>
    <sheet name="Mech" sheetId="8" r:id="rId3"/>
    <sheet name="MechBurn" sheetId="9" r:id="rId4"/>
    <sheet name="TableS5-CalculationExample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2" l="1"/>
  <c r="F24" i="12"/>
  <c r="K24" i="8"/>
  <c r="H4" i="12"/>
  <c r="H18" i="12"/>
  <c r="H3" i="12"/>
  <c r="F7" i="12"/>
  <c r="H7" i="12" s="1"/>
  <c r="F13" i="12"/>
  <c r="H13" i="12" s="1"/>
  <c r="F16" i="12"/>
  <c r="H16" i="12" s="1"/>
  <c r="F18" i="12"/>
  <c r="F4" i="12"/>
  <c r="E4" i="12"/>
  <c r="E5" i="12"/>
  <c r="F5" i="12" s="1"/>
  <c r="H5" i="12" s="1"/>
  <c r="E6" i="12"/>
  <c r="F6" i="12" s="1"/>
  <c r="H6" i="12" s="1"/>
  <c r="E7" i="12"/>
  <c r="E8" i="12"/>
  <c r="F8" i="12" s="1"/>
  <c r="H8" i="12" s="1"/>
  <c r="E9" i="12"/>
  <c r="F9" i="12" s="1"/>
  <c r="H9" i="12" s="1"/>
  <c r="E10" i="12"/>
  <c r="F10" i="12" s="1"/>
  <c r="H10" i="12" s="1"/>
  <c r="E11" i="12"/>
  <c r="F11" i="12" s="1"/>
  <c r="H11" i="12" s="1"/>
  <c r="E12" i="12"/>
  <c r="F12" i="12" s="1"/>
  <c r="H12" i="12" s="1"/>
  <c r="E13" i="12"/>
  <c r="E14" i="12"/>
  <c r="F14" i="12" s="1"/>
  <c r="H14" i="12" s="1"/>
  <c r="E15" i="12"/>
  <c r="F15" i="12" s="1"/>
  <c r="H15" i="12" s="1"/>
  <c r="E16" i="12"/>
  <c r="E17" i="12"/>
  <c r="F17" i="12" s="1"/>
  <c r="H17" i="12" s="1"/>
  <c r="E18" i="12"/>
  <c r="E19" i="12"/>
  <c r="F19" i="12" s="1"/>
  <c r="H19" i="12" s="1"/>
  <c r="E20" i="12"/>
  <c r="F20" i="12" s="1"/>
  <c r="H20" i="12" s="1"/>
  <c r="E21" i="12"/>
  <c r="F21" i="12" s="1"/>
  <c r="H21" i="12" s="1"/>
  <c r="E22" i="12"/>
  <c r="F22" i="12" s="1"/>
  <c r="H22" i="12" s="1"/>
  <c r="E3" i="12"/>
  <c r="F23" i="12" l="1"/>
  <c r="H23" i="12"/>
  <c r="E22" i="9" l="1"/>
  <c r="E21" i="9"/>
  <c r="C20" i="9"/>
  <c r="E21" i="8"/>
  <c r="E22" i="8"/>
  <c r="E20" i="8"/>
  <c r="C47" i="7"/>
  <c r="D46" i="7"/>
  <c r="E46" i="7" s="1"/>
  <c r="E45" i="7"/>
  <c r="C40" i="7"/>
  <c r="C41" i="7" s="1"/>
  <c r="C42" i="7" s="1"/>
  <c r="C43" i="7" s="1"/>
  <c r="D33" i="7"/>
  <c r="D34" i="7" s="1"/>
  <c r="D35" i="7" s="1"/>
  <c r="D36" i="7" s="1"/>
  <c r="D37" i="7" s="1"/>
  <c r="D38" i="7" s="1"/>
  <c r="C33" i="7"/>
  <c r="C34" i="7" s="1"/>
  <c r="E32" i="7"/>
  <c r="D31" i="7"/>
  <c r="E31" i="7" s="1"/>
  <c r="E30" i="7"/>
  <c r="D47" i="7" l="1"/>
  <c r="D48" i="7" s="1"/>
  <c r="E47" i="7"/>
  <c r="C48" i="7"/>
  <c r="E48" i="7" s="1"/>
  <c r="E33" i="7"/>
  <c r="C35" i="7"/>
  <c r="E34" i="7"/>
  <c r="D39" i="7"/>
  <c r="E38" i="7"/>
  <c r="C44" i="7"/>
  <c r="F49" i="9"/>
  <c r="D40" i="7" l="1"/>
  <c r="E39" i="7"/>
  <c r="C36" i="7"/>
  <c r="E35" i="7"/>
  <c r="K22" i="13"/>
  <c r="L22" i="13" s="1"/>
  <c r="I22" i="13"/>
  <c r="K21" i="13"/>
  <c r="L21" i="13" s="1"/>
  <c r="K20" i="13"/>
  <c r="L20" i="13" s="1"/>
  <c r="K19" i="13"/>
  <c r="L19" i="13" s="1"/>
  <c r="K18" i="13"/>
  <c r="L18" i="13" s="1"/>
  <c r="I18" i="13"/>
  <c r="K17" i="13"/>
  <c r="L17" i="13" s="1"/>
  <c r="K16" i="13"/>
  <c r="L16" i="13" s="1"/>
  <c r="K15" i="13"/>
  <c r="L15" i="13" s="1"/>
  <c r="K14" i="13"/>
  <c r="L14" i="13" s="1"/>
  <c r="K13" i="13"/>
  <c r="L13" i="13" s="1"/>
  <c r="K12" i="13"/>
  <c r="L12" i="13" s="1"/>
  <c r="K11" i="13"/>
  <c r="L11" i="13" s="1"/>
  <c r="K10" i="13"/>
  <c r="L10" i="13" s="1"/>
  <c r="K9" i="13"/>
  <c r="L9" i="13" s="1"/>
  <c r="K8" i="13"/>
  <c r="L8" i="13" s="1"/>
  <c r="K7" i="13"/>
  <c r="L7" i="13" s="1"/>
  <c r="K6" i="13"/>
  <c r="L6" i="13" s="1"/>
  <c r="I6" i="13"/>
  <c r="K5" i="13"/>
  <c r="L5" i="13" s="1"/>
  <c r="I5" i="13"/>
  <c r="K4" i="13"/>
  <c r="L4" i="13" s="1"/>
  <c r="I4" i="13"/>
  <c r="K3" i="13"/>
  <c r="L3" i="13" s="1"/>
  <c r="I3" i="13"/>
  <c r="J3" i="13" s="1"/>
  <c r="L49" i="9"/>
  <c r="L48" i="9"/>
  <c r="L47" i="9"/>
  <c r="L46" i="9"/>
  <c r="M46" i="9" s="1"/>
  <c r="L45" i="9"/>
  <c r="L44" i="9"/>
  <c r="L43" i="9"/>
  <c r="L42" i="9"/>
  <c r="M42" i="9" s="1"/>
  <c r="L41" i="9"/>
  <c r="L40" i="9"/>
  <c r="M40" i="9" s="1"/>
  <c r="L39" i="9"/>
  <c r="L38" i="9"/>
  <c r="M38" i="9" s="1"/>
  <c r="L37" i="9"/>
  <c r="L36" i="9"/>
  <c r="L35" i="9"/>
  <c r="L34" i="9"/>
  <c r="M34" i="9" s="1"/>
  <c r="L33" i="9"/>
  <c r="L32" i="9"/>
  <c r="M32" i="9" s="1"/>
  <c r="L31" i="9"/>
  <c r="L30" i="9"/>
  <c r="M30" i="9" s="1"/>
  <c r="L8" i="9"/>
  <c r="F45" i="9"/>
  <c r="J45" i="9" s="1"/>
  <c r="F32" i="9"/>
  <c r="J32" i="9" s="1"/>
  <c r="F31" i="9"/>
  <c r="F30" i="9"/>
  <c r="J30" i="9" s="1"/>
  <c r="K30" i="9" s="1"/>
  <c r="F48" i="8"/>
  <c r="L48" i="8"/>
  <c r="M48" i="8" s="1"/>
  <c r="L47" i="8"/>
  <c r="M47" i="8" s="1"/>
  <c r="L46" i="8"/>
  <c r="M46" i="8" s="1"/>
  <c r="L45" i="8"/>
  <c r="M45" i="8" s="1"/>
  <c r="F45" i="8"/>
  <c r="J45" i="8" s="1"/>
  <c r="L44" i="8"/>
  <c r="M44" i="8" s="1"/>
  <c r="F44" i="8"/>
  <c r="J44" i="8" s="1"/>
  <c r="L43" i="8"/>
  <c r="M43" i="8" s="1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F32" i="8"/>
  <c r="J32" i="8" s="1"/>
  <c r="L31" i="8"/>
  <c r="M31" i="8" s="1"/>
  <c r="F31" i="8"/>
  <c r="J31" i="8" s="1"/>
  <c r="L30" i="8"/>
  <c r="M30" i="8" s="1"/>
  <c r="F30" i="8"/>
  <c r="J30" i="8" s="1"/>
  <c r="L29" i="8"/>
  <c r="M29" i="8" s="1"/>
  <c r="F29" i="8"/>
  <c r="J29" i="8" s="1"/>
  <c r="K29" i="8" s="1"/>
  <c r="K49" i="7"/>
  <c r="L49" i="7" s="1"/>
  <c r="I49" i="7"/>
  <c r="K48" i="7"/>
  <c r="L48" i="7" s="1"/>
  <c r="K47" i="7"/>
  <c r="L47" i="7" s="1"/>
  <c r="K46" i="7"/>
  <c r="L46" i="7" s="1"/>
  <c r="K45" i="7"/>
  <c r="L45" i="7" s="1"/>
  <c r="I45" i="7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L35" i="7"/>
  <c r="K35" i="7"/>
  <c r="K34" i="7"/>
  <c r="L34" i="7" s="1"/>
  <c r="K33" i="7"/>
  <c r="L33" i="7" s="1"/>
  <c r="K32" i="7"/>
  <c r="L32" i="7" s="1"/>
  <c r="I32" i="7"/>
  <c r="K31" i="7"/>
  <c r="L31" i="7" s="1"/>
  <c r="I31" i="7"/>
  <c r="K30" i="7"/>
  <c r="L30" i="7" s="1"/>
  <c r="I30" i="7"/>
  <c r="J30" i="7" s="1"/>
  <c r="N30" i="9" l="1"/>
  <c r="K32" i="8"/>
  <c r="N32" i="8" s="1"/>
  <c r="C37" i="7"/>
  <c r="E37" i="7" s="1"/>
  <c r="E36" i="7"/>
  <c r="D41" i="7"/>
  <c r="E40" i="7"/>
  <c r="I46" i="7"/>
  <c r="J46" i="7" s="1"/>
  <c r="M46" i="7" s="1"/>
  <c r="F47" i="8"/>
  <c r="J47" i="8" s="1"/>
  <c r="I33" i="7"/>
  <c r="J33" i="7" s="1"/>
  <c r="M33" i="7" s="1"/>
  <c r="I47" i="7"/>
  <c r="F34" i="8"/>
  <c r="J34" i="8" s="1"/>
  <c r="J4" i="13"/>
  <c r="M4" i="13" s="1"/>
  <c r="J6" i="13"/>
  <c r="M6" i="13" s="1"/>
  <c r="I11" i="13"/>
  <c r="I20" i="13"/>
  <c r="M3" i="13"/>
  <c r="I21" i="13"/>
  <c r="J5" i="13"/>
  <c r="M5" i="13" s="1"/>
  <c r="I19" i="13"/>
  <c r="J19" i="13" s="1"/>
  <c r="M19" i="13" s="1"/>
  <c r="M39" i="9"/>
  <c r="M48" i="9"/>
  <c r="M35" i="9"/>
  <c r="M44" i="9"/>
  <c r="M47" i="9"/>
  <c r="M36" i="9"/>
  <c r="M31" i="9"/>
  <c r="M33" i="9"/>
  <c r="M37" i="9"/>
  <c r="M41" i="9"/>
  <c r="M45" i="9"/>
  <c r="M49" i="9"/>
  <c r="M43" i="9"/>
  <c r="F33" i="9"/>
  <c r="J33" i="9" s="1"/>
  <c r="K33" i="9" s="1"/>
  <c r="N33" i="9" s="1"/>
  <c r="F47" i="9"/>
  <c r="F48" i="9"/>
  <c r="J48" i="9" s="1"/>
  <c r="F35" i="9"/>
  <c r="F38" i="9"/>
  <c r="J38" i="9" s="1"/>
  <c r="J31" i="9"/>
  <c r="K31" i="9" s="1"/>
  <c r="N31" i="9" s="1"/>
  <c r="F46" i="9"/>
  <c r="J46" i="9" s="1"/>
  <c r="K46" i="9" s="1"/>
  <c r="N46" i="9" s="1"/>
  <c r="F34" i="9"/>
  <c r="J49" i="9"/>
  <c r="J48" i="8"/>
  <c r="F37" i="8"/>
  <c r="J37" i="8" s="1"/>
  <c r="K45" i="8"/>
  <c r="N45" i="8" s="1"/>
  <c r="N29" i="8"/>
  <c r="K30" i="8"/>
  <c r="N30" i="8" s="1"/>
  <c r="F38" i="8"/>
  <c r="J38" i="8" s="1"/>
  <c r="K31" i="8"/>
  <c r="N31" i="8" s="1"/>
  <c r="I38" i="7"/>
  <c r="M30" i="7"/>
  <c r="J31" i="7"/>
  <c r="M31" i="7" s="1"/>
  <c r="I35" i="7"/>
  <c r="J32" i="7"/>
  <c r="M32" i="7" s="1"/>
  <c r="I48" i="7"/>
  <c r="I34" i="7"/>
  <c r="J47" i="7" l="1"/>
  <c r="M47" i="7" s="1"/>
  <c r="F46" i="8"/>
  <c r="J46" i="8" s="1"/>
  <c r="K46" i="8" s="1"/>
  <c r="N46" i="8" s="1"/>
  <c r="F33" i="8"/>
  <c r="J33" i="8" s="1"/>
  <c r="K33" i="8" s="1"/>
  <c r="N33" i="8" s="1"/>
  <c r="K48" i="8"/>
  <c r="N48" i="8" s="1"/>
  <c r="D42" i="7"/>
  <c r="E41" i="7"/>
  <c r="J21" i="13"/>
  <c r="M21" i="13" s="1"/>
  <c r="J48" i="7"/>
  <c r="M48" i="7" s="1"/>
  <c r="J34" i="7"/>
  <c r="M34" i="7" s="1"/>
  <c r="K38" i="8"/>
  <c r="N38" i="8" s="1"/>
  <c r="F40" i="8"/>
  <c r="J40" i="8" s="1"/>
  <c r="K32" i="9"/>
  <c r="N32" i="9" s="1"/>
  <c r="J22" i="13"/>
  <c r="M22" i="13" s="1"/>
  <c r="I7" i="13"/>
  <c r="J7" i="13" s="1"/>
  <c r="M7" i="13" s="1"/>
  <c r="J20" i="13"/>
  <c r="M20" i="13" s="1"/>
  <c r="I12" i="13"/>
  <c r="J12" i="13" s="1"/>
  <c r="M12" i="13" s="1"/>
  <c r="J34" i="9"/>
  <c r="K34" i="9" s="1"/>
  <c r="N34" i="9" s="1"/>
  <c r="K49" i="9"/>
  <c r="N49" i="9" s="1"/>
  <c r="J47" i="9"/>
  <c r="K48" i="9" s="1"/>
  <c r="N48" i="9" s="1"/>
  <c r="F39" i="9"/>
  <c r="J39" i="9" s="1"/>
  <c r="K39" i="9" s="1"/>
  <c r="N39" i="9" s="1"/>
  <c r="F36" i="9"/>
  <c r="F37" i="9"/>
  <c r="F41" i="8"/>
  <c r="J41" i="8" s="1"/>
  <c r="F39" i="8"/>
  <c r="J39" i="8" s="1"/>
  <c r="K39" i="8" s="1"/>
  <c r="N39" i="8" s="1"/>
  <c r="F35" i="8"/>
  <c r="J35" i="8" s="1"/>
  <c r="K35" i="8" s="1"/>
  <c r="N35" i="8" s="1"/>
  <c r="F36" i="8"/>
  <c r="J36" i="8" s="1"/>
  <c r="J49" i="7"/>
  <c r="M49" i="7" s="1"/>
  <c r="I36" i="7"/>
  <c r="J36" i="7" s="1"/>
  <c r="M36" i="7" s="1"/>
  <c r="I37" i="7"/>
  <c r="J35" i="7"/>
  <c r="M35" i="7" s="1"/>
  <c r="I39" i="7"/>
  <c r="J39" i="7" s="1"/>
  <c r="M39" i="7" s="1"/>
  <c r="K47" i="8" l="1"/>
  <c r="N47" i="8" s="1"/>
  <c r="K34" i="8"/>
  <c r="N34" i="8" s="1"/>
  <c r="K41" i="8"/>
  <c r="N41" i="8" s="1"/>
  <c r="D43" i="7"/>
  <c r="E42" i="7"/>
  <c r="J37" i="7"/>
  <c r="M37" i="7" s="1"/>
  <c r="K36" i="8"/>
  <c r="N36" i="8" s="1"/>
  <c r="K47" i="9"/>
  <c r="N47" i="9" s="1"/>
  <c r="I13" i="13"/>
  <c r="J13" i="13" s="1"/>
  <c r="M13" i="13" s="1"/>
  <c r="I8" i="13"/>
  <c r="J8" i="13" s="1"/>
  <c r="J35" i="9"/>
  <c r="K35" i="9" s="1"/>
  <c r="N35" i="9" s="1"/>
  <c r="F40" i="9"/>
  <c r="J40" i="9" s="1"/>
  <c r="K40" i="9" s="1"/>
  <c r="N40" i="9" s="1"/>
  <c r="K37" i="8"/>
  <c r="N37" i="8" s="1"/>
  <c r="K40" i="8"/>
  <c r="N40" i="8" s="1"/>
  <c r="F42" i="8"/>
  <c r="J42" i="8" s="1"/>
  <c r="K42" i="8" s="1"/>
  <c r="N42" i="8" s="1"/>
  <c r="F43" i="8"/>
  <c r="J43" i="8" s="1"/>
  <c r="I40" i="7"/>
  <c r="J40" i="7" s="1"/>
  <c r="M40" i="7" s="1"/>
  <c r="J38" i="7"/>
  <c r="M38" i="7" s="1"/>
  <c r="K4" i="7"/>
  <c r="D44" i="7" l="1"/>
  <c r="E44" i="7" s="1"/>
  <c r="E43" i="7"/>
  <c r="M8" i="13"/>
  <c r="I10" i="13"/>
  <c r="I9" i="13"/>
  <c r="J9" i="13" s="1"/>
  <c r="M9" i="13" s="1"/>
  <c r="I14" i="13"/>
  <c r="J14" i="13" s="1"/>
  <c r="M14" i="13" s="1"/>
  <c r="J36" i="9"/>
  <c r="K36" i="9" s="1"/>
  <c r="N36" i="9" s="1"/>
  <c r="J37" i="9"/>
  <c r="F41" i="9"/>
  <c r="J41" i="9" s="1"/>
  <c r="K41" i="9" s="1"/>
  <c r="N41" i="9" s="1"/>
  <c r="K43" i="8"/>
  <c r="N43" i="8" s="1"/>
  <c r="K44" i="8"/>
  <c r="N44" i="8" s="1"/>
  <c r="I41" i="7"/>
  <c r="J41" i="7" s="1"/>
  <c r="M41" i="7" s="1"/>
  <c r="D19" i="9"/>
  <c r="D20" i="9" s="1"/>
  <c r="D21" i="9" s="1"/>
  <c r="D6" i="9"/>
  <c r="D7" i="9" s="1"/>
  <c r="D8" i="9" s="1"/>
  <c r="D9" i="9" s="1"/>
  <c r="D10" i="9" s="1"/>
  <c r="D11" i="9" s="1"/>
  <c r="D4" i="9"/>
  <c r="C21" i="9"/>
  <c r="F3" i="8"/>
  <c r="J3" i="8" s="1"/>
  <c r="D12" i="9" l="1"/>
  <c r="D13" i="9" s="1"/>
  <c r="D14" i="9" s="1"/>
  <c r="D15" i="9" s="1"/>
  <c r="D16" i="9" s="1"/>
  <c r="D17" i="9" s="1"/>
  <c r="N49" i="8"/>
  <c r="N50" i="8" s="1"/>
  <c r="K49" i="8"/>
  <c r="K50" i="8" s="1"/>
  <c r="I15" i="13"/>
  <c r="J15" i="13" s="1"/>
  <c r="M15" i="13" s="1"/>
  <c r="J10" i="13"/>
  <c r="M10" i="13" s="1"/>
  <c r="J11" i="13"/>
  <c r="M11" i="13" s="1"/>
  <c r="K37" i="9"/>
  <c r="N37" i="9" s="1"/>
  <c r="K38" i="9"/>
  <c r="N38" i="9" s="1"/>
  <c r="F42" i="9"/>
  <c r="J42" i="9" s="1"/>
  <c r="K42" i="9" s="1"/>
  <c r="N42" i="9" s="1"/>
  <c r="I42" i="7"/>
  <c r="J42" i="7" s="1"/>
  <c r="M42" i="7" s="1"/>
  <c r="D19" i="8"/>
  <c r="D20" i="8" s="1"/>
  <c r="D21" i="8" s="1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4" i="8"/>
  <c r="C20" i="8"/>
  <c r="C21" i="8" s="1"/>
  <c r="E5" i="7"/>
  <c r="E18" i="7"/>
  <c r="E22" i="7"/>
  <c r="E3" i="7"/>
  <c r="I3" i="7" s="1"/>
  <c r="D19" i="7"/>
  <c r="D20" i="7" s="1"/>
  <c r="D21" i="7" s="1"/>
  <c r="D6" i="7"/>
  <c r="D7" i="7" s="1"/>
  <c r="D8" i="7" s="1"/>
  <c r="D9" i="7" s="1"/>
  <c r="D10" i="7" s="1"/>
  <c r="D11" i="7" s="1"/>
  <c r="D4" i="7"/>
  <c r="E4" i="7" s="1"/>
  <c r="I4" i="7" s="1"/>
  <c r="N11" i="13" l="1"/>
  <c r="I17" i="13"/>
  <c r="I16" i="13"/>
  <c r="J16" i="13" s="1"/>
  <c r="F44" i="9"/>
  <c r="J44" i="9" s="1"/>
  <c r="F43" i="9"/>
  <c r="J43" i="9" s="1"/>
  <c r="K43" i="9" s="1"/>
  <c r="N43" i="9" s="1"/>
  <c r="I44" i="7"/>
  <c r="I43" i="7"/>
  <c r="J43" i="7" s="1"/>
  <c r="M43" i="7" s="1"/>
  <c r="E19" i="7"/>
  <c r="J4" i="7"/>
  <c r="D12" i="7"/>
  <c r="E11" i="7"/>
  <c r="M16" i="13" l="1"/>
  <c r="J17" i="13"/>
  <c r="M17" i="13" s="1"/>
  <c r="J18" i="13"/>
  <c r="M18" i="13" s="1"/>
  <c r="K44" i="9"/>
  <c r="N44" i="9" s="1"/>
  <c r="K45" i="9"/>
  <c r="N45" i="9" s="1"/>
  <c r="N50" i="9" s="1"/>
  <c r="J44" i="7"/>
  <c r="M44" i="7" s="1"/>
  <c r="J45" i="7"/>
  <c r="D13" i="7"/>
  <c r="D14" i="7" s="1"/>
  <c r="D15" i="7" s="1"/>
  <c r="D16" i="7" s="1"/>
  <c r="D17" i="7" s="1"/>
  <c r="E12" i="7"/>
  <c r="N52" i="9" l="1"/>
  <c r="N51" i="9"/>
  <c r="J23" i="13"/>
  <c r="M23" i="13"/>
  <c r="K50" i="9"/>
  <c r="K51" i="9" s="1"/>
  <c r="M45" i="7"/>
  <c r="M50" i="7" s="1"/>
  <c r="J50" i="7"/>
  <c r="J51" i="7" s="1"/>
  <c r="F4" i="9"/>
  <c r="F5" i="9"/>
  <c r="F11" i="9"/>
  <c r="F18" i="9"/>
  <c r="F19" i="9"/>
  <c r="F20" i="9"/>
  <c r="F3" i="9"/>
  <c r="L22" i="9"/>
  <c r="L21" i="9"/>
  <c r="F21" i="9"/>
  <c r="L20" i="9"/>
  <c r="L19" i="9"/>
  <c r="L18" i="9"/>
  <c r="L17" i="9"/>
  <c r="L16" i="9"/>
  <c r="L15" i="9"/>
  <c r="L14" i="9"/>
  <c r="L13" i="9"/>
  <c r="L12" i="9"/>
  <c r="C12" i="9"/>
  <c r="C13" i="9" s="1"/>
  <c r="C14" i="9" s="1"/>
  <c r="C15" i="9" s="1"/>
  <c r="L11" i="9"/>
  <c r="L10" i="9"/>
  <c r="L9" i="9"/>
  <c r="L7" i="9"/>
  <c r="L6" i="9"/>
  <c r="C6" i="9"/>
  <c r="C7" i="9" s="1"/>
  <c r="C8" i="9" s="1"/>
  <c r="C9" i="9" s="1"/>
  <c r="C10" i="9" s="1"/>
  <c r="F10" i="9" s="1"/>
  <c r="L5" i="9"/>
  <c r="L4" i="9"/>
  <c r="L3" i="9"/>
  <c r="F4" i="8"/>
  <c r="J4" i="8" s="1"/>
  <c r="F5" i="8"/>
  <c r="J5" i="8" s="1"/>
  <c r="F18" i="8"/>
  <c r="J18" i="8" s="1"/>
  <c r="L22" i="8"/>
  <c r="M22" i="8" s="1"/>
  <c r="L21" i="8"/>
  <c r="M21" i="8" s="1"/>
  <c r="L20" i="8"/>
  <c r="M20" i="8" s="1"/>
  <c r="L19" i="8"/>
  <c r="M19" i="8" s="1"/>
  <c r="L18" i="8"/>
  <c r="M18" i="8" s="1"/>
  <c r="L17" i="8"/>
  <c r="M17" i="8" s="1"/>
  <c r="L16" i="8"/>
  <c r="M16" i="8" s="1"/>
  <c r="L15" i="8"/>
  <c r="M15" i="8" s="1"/>
  <c r="L14" i="8"/>
  <c r="M14" i="8" s="1"/>
  <c r="L13" i="8"/>
  <c r="M13" i="8" s="1"/>
  <c r="L12" i="8"/>
  <c r="M12" i="8" s="1"/>
  <c r="C12" i="8"/>
  <c r="C13" i="8" s="1"/>
  <c r="C14" i="8" s="1"/>
  <c r="C15" i="8" s="1"/>
  <c r="C16" i="8" s="1"/>
  <c r="C17" i="8" s="1"/>
  <c r="L11" i="8"/>
  <c r="M11" i="8" s="1"/>
  <c r="L10" i="8"/>
  <c r="M10" i="8" s="1"/>
  <c r="L9" i="8"/>
  <c r="M9" i="8" s="1"/>
  <c r="L8" i="8"/>
  <c r="M8" i="8" s="1"/>
  <c r="L7" i="8"/>
  <c r="M7" i="8" s="1"/>
  <c r="L6" i="8"/>
  <c r="M6" i="8" s="1"/>
  <c r="C6" i="8"/>
  <c r="C7" i="8" s="1"/>
  <c r="C8" i="8" s="1"/>
  <c r="C9" i="8" s="1"/>
  <c r="C10" i="8" s="1"/>
  <c r="L5" i="8"/>
  <c r="M5" i="8" s="1"/>
  <c r="L4" i="8"/>
  <c r="M4" i="8" s="1"/>
  <c r="L3" i="8"/>
  <c r="M3" i="8" s="1"/>
  <c r="K22" i="7"/>
  <c r="L22" i="7" s="1"/>
  <c r="K21" i="7"/>
  <c r="L21" i="7" s="1"/>
  <c r="K20" i="7"/>
  <c r="L20" i="7" s="1"/>
  <c r="C20" i="7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C13" i="7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C6" i="7"/>
  <c r="K5" i="7"/>
  <c r="L5" i="7" s="1"/>
  <c r="L4" i="7"/>
  <c r="K3" i="7"/>
  <c r="L3" i="7" s="1"/>
  <c r="M51" i="7" l="1"/>
  <c r="C16" i="9"/>
  <c r="C17" i="9" s="1"/>
  <c r="F17" i="9" s="1"/>
  <c r="M9" i="9"/>
  <c r="M8" i="9"/>
  <c r="M11" i="9"/>
  <c r="M14" i="9"/>
  <c r="M16" i="9"/>
  <c r="M21" i="9"/>
  <c r="M4" i="9"/>
  <c r="M17" i="9"/>
  <c r="M22" i="9"/>
  <c r="M15" i="9"/>
  <c r="M5" i="9"/>
  <c r="M18" i="9"/>
  <c r="M12" i="9"/>
  <c r="M19" i="9"/>
  <c r="M10" i="9"/>
  <c r="M13" i="9"/>
  <c r="M3" i="9"/>
  <c r="M6" i="9"/>
  <c r="M7" i="9"/>
  <c r="M20" i="9"/>
  <c r="J5" i="9"/>
  <c r="C14" i="7"/>
  <c r="E13" i="7"/>
  <c r="C7" i="7"/>
  <c r="E6" i="7"/>
  <c r="C21" i="7"/>
  <c r="E21" i="7" s="1"/>
  <c r="E20" i="7"/>
  <c r="F16" i="9"/>
  <c r="F15" i="9"/>
  <c r="F14" i="9"/>
  <c r="F13" i="9"/>
  <c r="J13" i="9" s="1"/>
  <c r="I12" i="7"/>
  <c r="J4" i="9"/>
  <c r="J19" i="9"/>
  <c r="J20" i="9"/>
  <c r="J11" i="9"/>
  <c r="J18" i="9"/>
  <c r="J3" i="9"/>
  <c r="K3" i="9" s="1"/>
  <c r="N3" i="9" s="1"/>
  <c r="K3" i="8"/>
  <c r="N3" i="8" s="1"/>
  <c r="I22" i="7"/>
  <c r="I19" i="7"/>
  <c r="I18" i="7"/>
  <c r="I11" i="7"/>
  <c r="I5" i="7"/>
  <c r="J5" i="7" s="1"/>
  <c r="J3" i="7"/>
  <c r="F12" i="9"/>
  <c r="F8" i="9"/>
  <c r="F7" i="9"/>
  <c r="F22" i="9"/>
  <c r="J22" i="9" s="1"/>
  <c r="F6" i="9"/>
  <c r="F9" i="9"/>
  <c r="J21" i="9"/>
  <c r="F22" i="8"/>
  <c r="J22" i="8" s="1"/>
  <c r="M3" i="7" l="1"/>
  <c r="K5" i="9"/>
  <c r="K19" i="9"/>
  <c r="N19" i="9" s="1"/>
  <c r="K4" i="9"/>
  <c r="J12" i="9"/>
  <c r="K12" i="9" s="1"/>
  <c r="N12" i="9" s="1"/>
  <c r="J14" i="9"/>
  <c r="K14" i="9" s="1"/>
  <c r="N14" i="9" s="1"/>
  <c r="J6" i="9"/>
  <c r="K6" i="9" s="1"/>
  <c r="N6" i="9" s="1"/>
  <c r="K21" i="9"/>
  <c r="N21" i="9" s="1"/>
  <c r="K22" i="9"/>
  <c r="N22" i="9" s="1"/>
  <c r="C15" i="7"/>
  <c r="E14" i="7"/>
  <c r="C8" i="7"/>
  <c r="E7" i="7"/>
  <c r="J12" i="7"/>
  <c r="M12" i="7" s="1"/>
  <c r="M4" i="7"/>
  <c r="I6" i="7"/>
  <c r="I21" i="7"/>
  <c r="J22" i="7" s="1"/>
  <c r="M22" i="7" s="1"/>
  <c r="I20" i="7"/>
  <c r="J20" i="7" s="1"/>
  <c r="M20" i="7" s="1"/>
  <c r="K4" i="8"/>
  <c r="N4" i="8" s="1"/>
  <c r="I13" i="7"/>
  <c r="J13" i="7" s="1"/>
  <c r="N4" i="9"/>
  <c r="J19" i="7"/>
  <c r="M19" i="7" s="1"/>
  <c r="K20" i="9"/>
  <c r="N20" i="9" s="1"/>
  <c r="J7" i="9"/>
  <c r="K13" i="9"/>
  <c r="N13" i="9" s="1"/>
  <c r="J15" i="9"/>
  <c r="N5" i="9"/>
  <c r="K5" i="8"/>
  <c r="N5" i="8" s="1"/>
  <c r="C16" i="7" l="1"/>
  <c r="E15" i="7"/>
  <c r="C9" i="7"/>
  <c r="E8" i="7"/>
  <c r="M5" i="7"/>
  <c r="I7" i="7"/>
  <c r="I14" i="7"/>
  <c r="J14" i="7" s="1"/>
  <c r="M14" i="7" s="1"/>
  <c r="J21" i="7"/>
  <c r="M21" i="7" s="1"/>
  <c r="J8" i="9"/>
  <c r="K7" i="9"/>
  <c r="K15" i="9"/>
  <c r="N15" i="9" s="1"/>
  <c r="J16" i="9"/>
  <c r="M13" i="7"/>
  <c r="J6" i="7"/>
  <c r="M6" i="7" l="1"/>
  <c r="C17" i="7"/>
  <c r="E17" i="7" s="1"/>
  <c r="E16" i="7"/>
  <c r="C10" i="7"/>
  <c r="E10" i="7" s="1"/>
  <c r="E9" i="7"/>
  <c r="I15" i="7"/>
  <c r="J15" i="7" s="1"/>
  <c r="M15" i="7" s="1"/>
  <c r="I8" i="7"/>
  <c r="J17" i="9"/>
  <c r="K16" i="9"/>
  <c r="N16" i="9" s="1"/>
  <c r="N7" i="9"/>
  <c r="K8" i="9"/>
  <c r="N8" i="9" s="1"/>
  <c r="J9" i="9"/>
  <c r="J7" i="7"/>
  <c r="M7" i="7" s="1"/>
  <c r="I10" i="7" l="1"/>
  <c r="I9" i="7"/>
  <c r="I17" i="7"/>
  <c r="J18" i="7" s="1"/>
  <c r="M18" i="7" s="1"/>
  <c r="I16" i="7"/>
  <c r="J16" i="7" s="1"/>
  <c r="M16" i="7" s="1"/>
  <c r="J10" i="9"/>
  <c r="K9" i="9"/>
  <c r="N9" i="9" s="1"/>
  <c r="K17" i="9"/>
  <c r="N17" i="9" s="1"/>
  <c r="K18" i="9"/>
  <c r="N18" i="9" s="1"/>
  <c r="J8" i="7"/>
  <c r="J17" i="7" l="1"/>
  <c r="M17" i="7" s="1"/>
  <c r="K10" i="9"/>
  <c r="K11" i="9"/>
  <c r="N11" i="9" s="1"/>
  <c r="J9" i="7"/>
  <c r="M9" i="7" s="1"/>
  <c r="M8" i="7"/>
  <c r="N10" i="9" l="1"/>
  <c r="N23" i="9" s="1"/>
  <c r="N24" i="9" s="1"/>
  <c r="K23" i="9"/>
  <c r="K24" i="9" s="1"/>
  <c r="J10" i="7"/>
  <c r="J11" i="7"/>
  <c r="M11" i="7" l="1"/>
  <c r="J23" i="7"/>
  <c r="J24" i="7" s="1"/>
  <c r="M10" i="7"/>
  <c r="M23" i="7" l="1"/>
  <c r="M24" i="7" l="1"/>
  <c r="F11" i="8" l="1"/>
  <c r="J11" i="8" s="1"/>
  <c r="F14" i="8"/>
  <c r="J14" i="8" s="1"/>
  <c r="F9" i="8"/>
  <c r="J9" i="8" s="1"/>
  <c r="F17" i="8"/>
  <c r="J17" i="8" s="1"/>
  <c r="F20" i="8"/>
  <c r="J20" i="8" s="1"/>
  <c r="F10" i="8"/>
  <c r="J10" i="8" s="1"/>
  <c r="F13" i="8"/>
  <c r="J13" i="8" s="1"/>
  <c r="F8" i="8"/>
  <c r="J8" i="8" s="1"/>
  <c r="F12" i="8"/>
  <c r="J12" i="8" s="1"/>
  <c r="F21" i="8"/>
  <c r="J21" i="8" s="1"/>
  <c r="F16" i="8"/>
  <c r="J16" i="8" s="1"/>
  <c r="F15" i="8"/>
  <c r="J15" i="8" s="1"/>
  <c r="F7" i="8"/>
  <c r="J7" i="8" s="1"/>
  <c r="F6" i="8"/>
  <c r="F19" i="8"/>
  <c r="J19" i="8" s="1"/>
  <c r="J6" i="8" l="1"/>
  <c r="K6" i="8" s="1"/>
  <c r="N6" i="8" s="1"/>
  <c r="K20" i="8"/>
  <c r="N20" i="8" s="1"/>
  <c r="K21" i="8"/>
  <c r="N21" i="8" s="1"/>
  <c r="K22" i="8" l="1"/>
  <c r="N22" i="8" s="1"/>
  <c r="K17" i="8"/>
  <c r="N17" i="8" s="1"/>
  <c r="K9" i="8" l="1"/>
  <c r="N9" i="8" s="1"/>
  <c r="K11" i="8"/>
  <c r="N11" i="8" s="1"/>
  <c r="K8" i="8"/>
  <c r="N8" i="8" s="1"/>
  <c r="K16" i="8"/>
  <c r="N16" i="8" s="1"/>
  <c r="K12" i="8"/>
  <c r="N12" i="8" s="1"/>
  <c r="K13" i="8"/>
  <c r="N13" i="8" s="1"/>
  <c r="K18" i="8"/>
  <c r="N18" i="8" s="1"/>
  <c r="K19" i="8"/>
  <c r="N19" i="8" s="1"/>
  <c r="K14" i="8"/>
  <c r="N14" i="8" s="1"/>
  <c r="K15" i="8"/>
  <c r="N15" i="8" s="1"/>
  <c r="K10" i="8"/>
  <c r="N10" i="8" s="1"/>
  <c r="K7" i="8"/>
  <c r="K23" i="8" l="1"/>
  <c r="N7" i="8"/>
  <c r="N23" i="8" l="1"/>
  <c r="N24" i="8" s="1"/>
</calcChain>
</file>

<file path=xl/sharedStrings.xml><?xml version="1.0" encoding="utf-8"?>
<sst xmlns="http://schemas.openxmlformats.org/spreadsheetml/2006/main" count="102" uniqueCount="25">
  <si>
    <t>Treatment Scenario</t>
  </si>
  <si>
    <t>Non-treatment Scenario</t>
  </si>
  <si>
    <t>NonT - T</t>
  </si>
  <si>
    <t>Absolute change</t>
  </si>
  <si>
    <t>Discount percentage</t>
  </si>
  <si>
    <t>Value when discounted to year 1</t>
  </si>
  <si>
    <t>Wood Products</t>
    <phoneticPr fontId="1" type="noConversion"/>
  </si>
  <si>
    <t>Long-term Wood Products</t>
    <phoneticPr fontId="1" type="noConversion"/>
  </si>
  <si>
    <t>Treatment Soil</t>
    <phoneticPr fontId="1" type="noConversion"/>
  </si>
  <si>
    <t>Treatment veg and fuel</t>
    <phoneticPr fontId="1" type="noConversion"/>
  </si>
  <si>
    <t>Treatment Scenario</t>
    <phoneticPr fontId="1" type="noConversion"/>
  </si>
  <si>
    <t>Treatment veg+fuels</t>
    <phoneticPr fontId="1" type="noConversion"/>
  </si>
  <si>
    <t>Treatment Veg+fuels</t>
    <phoneticPr fontId="1" type="noConversion"/>
  </si>
  <si>
    <t>N_plot</t>
  </si>
  <si>
    <t>Non-treatment Soil</t>
  </si>
  <si>
    <t>Non-Treatment Scenario</t>
  </si>
  <si>
    <t>N</t>
  </si>
  <si>
    <t>Treatment Scenario
(Vegetation+Fuels+Soil+Wood Products)</t>
  </si>
  <si>
    <t xml:space="preserve">Control Scenario
</t>
  </si>
  <si>
    <t>Control-Treatment</t>
  </si>
  <si>
    <t xml:space="preserve"> </t>
    <phoneticPr fontId="1" type="noConversion"/>
  </si>
  <si>
    <t>Unidiscounted carbon cost</t>
    <phoneticPr fontId="1" type="noConversion"/>
  </si>
  <si>
    <t>Carbon cost</t>
    <phoneticPr fontId="1" type="noConversion"/>
  </si>
  <si>
    <t>N_plot</t>
    <phoneticPr fontId="1" type="noConversion"/>
  </si>
  <si>
    <t>With Simulated wildfire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</si>
</sst>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00000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theme="1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/>
    <xf numFmtId="0" fontId="0" fillId="5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"/>
  <sheetViews>
    <sheetView workbookViewId="0">
      <selection activeCell="C41" sqref="C41"/>
    </sheetView>
  </sheetViews>
  <sheetFormatPr defaultRowHeight="14.15"/>
  <cols>
    <col min="2" max="2" width="7.140625" bestFit="1" customWidth="1"/>
    <col min="3" max="3" width="21.5703125" bestFit="1" customWidth="1"/>
    <col min="4" max="4" width="13.7109375" bestFit="1" customWidth="1"/>
    <col min="5" max="5" width="18.42578125" bestFit="1" customWidth="1"/>
    <col min="6" max="6" width="22.85546875" bestFit="1" customWidth="1"/>
    <col min="7" max="7" width="18.42578125" bestFit="1" customWidth="1"/>
    <col min="8" max="8" width="23.28515625" bestFit="1" customWidth="1"/>
    <col min="10" max="10" width="15.85546875" bestFit="1" customWidth="1"/>
    <col min="11" max="11" width="19.28515625" bestFit="1" customWidth="1"/>
    <col min="12" max="12" width="12.7109375" bestFit="1" customWidth="1"/>
    <col min="13" max="13" width="30.140625" bestFit="1" customWidth="1"/>
  </cols>
  <sheetData>
    <row r="1" spans="1:14">
      <c r="C1" s="5" t="s">
        <v>1</v>
      </c>
      <c r="D1" s="5" t="s">
        <v>14</v>
      </c>
      <c r="E1" s="5" t="s">
        <v>15</v>
      </c>
      <c r="F1" s="15" t="s">
        <v>1</v>
      </c>
      <c r="G1" s="15" t="s">
        <v>14</v>
      </c>
      <c r="H1" s="15" t="s">
        <v>15</v>
      </c>
      <c r="I1" s="2" t="s">
        <v>2</v>
      </c>
      <c r="J1" s="2" t="s">
        <v>3</v>
      </c>
      <c r="K1" s="2" t="s">
        <v>4</v>
      </c>
      <c r="L1" s="2"/>
      <c r="M1" s="2" t="s">
        <v>5</v>
      </c>
    </row>
    <row r="2" spans="1:14">
      <c r="A2" s="1"/>
      <c r="B2" s="1" t="s">
        <v>23</v>
      </c>
      <c r="C2" s="16">
        <v>51</v>
      </c>
      <c r="D2" s="16">
        <v>51</v>
      </c>
      <c r="E2" s="16">
        <v>51</v>
      </c>
      <c r="F2" s="16">
        <v>51</v>
      </c>
      <c r="G2" s="16">
        <v>51</v>
      </c>
      <c r="H2" s="16">
        <v>51</v>
      </c>
      <c r="I2" s="7"/>
      <c r="J2" s="7"/>
      <c r="K2" s="7"/>
      <c r="L2" s="7"/>
      <c r="M2" s="7"/>
      <c r="N2" s="1"/>
    </row>
    <row r="3" spans="1:14">
      <c r="A3">
        <v>0</v>
      </c>
      <c r="B3">
        <v>2001</v>
      </c>
      <c r="C3" s="15">
        <v>221.77</v>
      </c>
      <c r="D3" s="17">
        <v>58.63</v>
      </c>
      <c r="E3" s="17">
        <v>280.40000000000003</v>
      </c>
      <c r="F3" s="29">
        <v>221.77</v>
      </c>
      <c r="G3" s="30">
        <v>58.63</v>
      </c>
      <c r="H3" s="17">
        <v>280.40000000000003</v>
      </c>
      <c r="I3" s="9">
        <f>H3-E3</f>
        <v>0</v>
      </c>
      <c r="J3" s="2">
        <f>I3</f>
        <v>0</v>
      </c>
      <c r="K3" s="2">
        <f>(1+0.004)^A3</f>
        <v>1</v>
      </c>
      <c r="L3" s="2">
        <f>1/K3</f>
        <v>1</v>
      </c>
      <c r="M3" s="2">
        <f>J3/K3</f>
        <v>0</v>
      </c>
    </row>
    <row r="4" spans="1:14">
      <c r="A4">
        <v>1</v>
      </c>
      <c r="B4">
        <v>2002</v>
      </c>
      <c r="C4" s="15">
        <v>223.98000000000002</v>
      </c>
      <c r="D4" s="17">
        <v>62.45</v>
      </c>
      <c r="E4" s="17">
        <v>286.43</v>
      </c>
      <c r="F4" s="15">
        <v>223.98000000000002</v>
      </c>
      <c r="G4" s="17">
        <v>62.45</v>
      </c>
      <c r="H4" s="17">
        <v>286.43</v>
      </c>
      <c r="I4" s="9">
        <f>H4-E4</f>
        <v>0</v>
      </c>
      <c r="J4" s="9">
        <f>I4-I3</f>
        <v>0</v>
      </c>
      <c r="K4" s="2">
        <f>(1+0.04)^A4</f>
        <v>1.04</v>
      </c>
      <c r="L4" s="2">
        <f t="shared" ref="L4:L22" si="0">1/K4</f>
        <v>0.96153846153846145</v>
      </c>
      <c r="M4" s="6">
        <f t="shared" ref="M4:M22" si="1">J4/K4</f>
        <v>0</v>
      </c>
    </row>
    <row r="5" spans="1:14">
      <c r="A5">
        <v>2</v>
      </c>
      <c r="B5">
        <v>2003</v>
      </c>
      <c r="C5" s="15">
        <v>226.19</v>
      </c>
      <c r="D5" s="17">
        <v>66.27</v>
      </c>
      <c r="E5" s="17">
        <v>292.45999999999998</v>
      </c>
      <c r="F5" s="29">
        <v>226.19</v>
      </c>
      <c r="G5" s="30">
        <v>66.27</v>
      </c>
      <c r="H5" s="17">
        <v>292.45999999999998</v>
      </c>
      <c r="I5" s="2">
        <f t="shared" ref="I5:I22" si="2">H5-E5</f>
        <v>0</v>
      </c>
      <c r="J5" s="9">
        <f>I5-I4</f>
        <v>0</v>
      </c>
      <c r="K5" s="2">
        <f t="shared" ref="K5:K22" si="3">(1+0.04)^A5</f>
        <v>1.0816000000000001</v>
      </c>
      <c r="L5" s="2">
        <f t="shared" si="0"/>
        <v>0.92455621301775137</v>
      </c>
      <c r="M5" s="2">
        <f t="shared" si="1"/>
        <v>0</v>
      </c>
    </row>
    <row r="6" spans="1:14">
      <c r="A6">
        <v>3</v>
      </c>
      <c r="B6">
        <v>2004</v>
      </c>
      <c r="C6" s="15">
        <v>229.14333333333332</v>
      </c>
      <c r="D6" s="17">
        <v>65.061538461538461</v>
      </c>
      <c r="E6" s="17">
        <v>294.20487179487179</v>
      </c>
      <c r="F6" s="15">
        <v>229.14333333333332</v>
      </c>
      <c r="G6" s="17">
        <v>65.061538461538461</v>
      </c>
      <c r="H6" s="17">
        <v>294.20487179487179</v>
      </c>
      <c r="I6" s="2">
        <f t="shared" si="2"/>
        <v>0</v>
      </c>
      <c r="J6" s="2">
        <f>I6-I5</f>
        <v>0</v>
      </c>
      <c r="K6" s="2">
        <f t="shared" si="3"/>
        <v>1.1248640000000001</v>
      </c>
      <c r="L6" s="2">
        <f t="shared" si="0"/>
        <v>0.88899635867091487</v>
      </c>
      <c r="M6" s="2">
        <f t="shared" si="1"/>
        <v>0</v>
      </c>
    </row>
    <row r="7" spans="1:14">
      <c r="A7">
        <v>4</v>
      </c>
      <c r="B7">
        <v>2005</v>
      </c>
      <c r="C7" s="15">
        <v>232.09666666666664</v>
      </c>
      <c r="D7" s="17">
        <v>63.853076923076927</v>
      </c>
      <c r="E7" s="17">
        <v>295.94974358974355</v>
      </c>
      <c r="F7" s="15">
        <v>232.09666666666664</v>
      </c>
      <c r="G7" s="17">
        <v>63.853076923076927</v>
      </c>
      <c r="H7" s="17">
        <v>295.94974358974355</v>
      </c>
      <c r="I7" s="2">
        <f t="shared" si="2"/>
        <v>0</v>
      </c>
      <c r="J7" s="2">
        <f t="shared" ref="J7:J22" si="4">I7-I6</f>
        <v>0</v>
      </c>
      <c r="K7" s="2">
        <f t="shared" si="3"/>
        <v>1.1698585600000002</v>
      </c>
      <c r="L7" s="2">
        <f t="shared" si="0"/>
        <v>0.85480419102972571</v>
      </c>
      <c r="M7" s="2">
        <f t="shared" si="1"/>
        <v>0</v>
      </c>
    </row>
    <row r="8" spans="1:14">
      <c r="A8">
        <v>5</v>
      </c>
      <c r="B8">
        <v>2006</v>
      </c>
      <c r="C8" s="15">
        <v>235.04999999999995</v>
      </c>
      <c r="D8" s="17">
        <v>62.644615384615392</v>
      </c>
      <c r="E8" s="17">
        <v>297.69461538461536</v>
      </c>
      <c r="F8" s="15">
        <v>235.04999999999995</v>
      </c>
      <c r="G8" s="17">
        <v>62.644615384615392</v>
      </c>
      <c r="H8" s="17">
        <v>297.69461538461536</v>
      </c>
      <c r="I8" s="2">
        <f t="shared" si="2"/>
        <v>0</v>
      </c>
      <c r="J8" s="2">
        <f t="shared" si="4"/>
        <v>0</v>
      </c>
      <c r="K8" s="2">
        <f t="shared" si="3"/>
        <v>1.2166529024000003</v>
      </c>
      <c r="L8" s="2">
        <f t="shared" si="0"/>
        <v>0.82192710675935154</v>
      </c>
      <c r="M8" s="2">
        <f t="shared" si="1"/>
        <v>0</v>
      </c>
    </row>
    <row r="9" spans="1:14">
      <c r="A9">
        <v>6</v>
      </c>
      <c r="B9">
        <v>2007</v>
      </c>
      <c r="C9" s="15">
        <v>238.00333333333327</v>
      </c>
      <c r="D9" s="17">
        <v>61.436153846153857</v>
      </c>
      <c r="E9" s="17">
        <v>299.43948717948712</v>
      </c>
      <c r="F9" s="15">
        <v>238.00333333333327</v>
      </c>
      <c r="G9" s="17">
        <v>61.436153846153857</v>
      </c>
      <c r="H9" s="17">
        <v>299.43948717948712</v>
      </c>
      <c r="I9" s="2">
        <f t="shared" si="2"/>
        <v>0</v>
      </c>
      <c r="J9" s="2">
        <f t="shared" si="4"/>
        <v>0</v>
      </c>
      <c r="K9" s="2">
        <f t="shared" si="3"/>
        <v>1.2653190184960004</v>
      </c>
      <c r="L9" s="2">
        <f t="shared" si="0"/>
        <v>0.79031452573014571</v>
      </c>
      <c r="M9" s="2">
        <f t="shared" si="1"/>
        <v>0</v>
      </c>
    </row>
    <row r="10" spans="1:14">
      <c r="A10">
        <v>7</v>
      </c>
      <c r="B10">
        <v>2008</v>
      </c>
      <c r="C10" s="15">
        <v>240.95666666666659</v>
      </c>
      <c r="D10" s="17">
        <v>60.227692307692323</v>
      </c>
      <c r="E10" s="17">
        <v>301.18435897435893</v>
      </c>
      <c r="F10" s="15">
        <v>240.95666666666659</v>
      </c>
      <c r="G10" s="17">
        <v>60.227692307692323</v>
      </c>
      <c r="H10" s="17">
        <v>301.18435897435893</v>
      </c>
      <c r="I10" s="2">
        <f t="shared" si="2"/>
        <v>0</v>
      </c>
      <c r="J10" s="2">
        <f t="shared" si="4"/>
        <v>0</v>
      </c>
      <c r="K10" s="2">
        <f t="shared" si="3"/>
        <v>1.3159317792358403</v>
      </c>
      <c r="L10" s="2">
        <f t="shared" si="0"/>
        <v>0.75991781320206331</v>
      </c>
      <c r="M10" s="2">
        <f t="shared" si="1"/>
        <v>0</v>
      </c>
    </row>
    <row r="11" spans="1:14">
      <c r="A11">
        <v>8</v>
      </c>
      <c r="B11">
        <v>2009</v>
      </c>
      <c r="C11" s="15">
        <v>243.91</v>
      </c>
      <c r="D11" s="17">
        <v>59.019230769230788</v>
      </c>
      <c r="E11" s="17">
        <v>302.9292307692308</v>
      </c>
      <c r="F11" s="29">
        <v>243.91</v>
      </c>
      <c r="G11" s="17">
        <v>59.019230769230788</v>
      </c>
      <c r="H11" s="17">
        <v>302.9292307692308</v>
      </c>
      <c r="I11" s="2">
        <f t="shared" si="2"/>
        <v>0</v>
      </c>
      <c r="J11" s="2">
        <f t="shared" si="4"/>
        <v>0</v>
      </c>
      <c r="K11" s="2">
        <f t="shared" si="3"/>
        <v>1.3685690504052741</v>
      </c>
      <c r="L11" s="2">
        <f t="shared" si="0"/>
        <v>0.73069020500198378</v>
      </c>
      <c r="M11" s="2">
        <f t="shared" si="1"/>
        <v>0</v>
      </c>
      <c r="N11" s="1">
        <f>SUM(M3:M11)</f>
        <v>0</v>
      </c>
    </row>
    <row r="12" spans="1:14">
      <c r="A12">
        <v>9</v>
      </c>
      <c r="B12">
        <v>2010</v>
      </c>
      <c r="C12" s="15">
        <v>252.86571428571429</v>
      </c>
      <c r="D12" s="17">
        <v>57.810769230769253</v>
      </c>
      <c r="E12" s="17">
        <v>310.67648351648353</v>
      </c>
      <c r="F12" s="15">
        <v>252.86571428571429</v>
      </c>
      <c r="G12" s="17">
        <v>57.810769230769253</v>
      </c>
      <c r="H12" s="17">
        <v>310.67648351648353</v>
      </c>
      <c r="I12" s="2">
        <f t="shared" si="2"/>
        <v>0</v>
      </c>
      <c r="J12" s="2">
        <f t="shared" si="4"/>
        <v>0</v>
      </c>
      <c r="K12" s="2">
        <f t="shared" si="3"/>
        <v>1.4233118124214852</v>
      </c>
      <c r="L12" s="2">
        <f t="shared" si="0"/>
        <v>0.70258673557883045</v>
      </c>
      <c r="M12" s="2">
        <f t="shared" si="1"/>
        <v>0</v>
      </c>
    </row>
    <row r="13" spans="1:14">
      <c r="A13">
        <v>10</v>
      </c>
      <c r="B13">
        <v>2011</v>
      </c>
      <c r="C13" s="15">
        <v>261.82142857142856</v>
      </c>
      <c r="D13" s="17">
        <v>56.602307692307718</v>
      </c>
      <c r="E13" s="17">
        <v>318.42373626373626</v>
      </c>
      <c r="F13" s="15">
        <v>261.82142857142856</v>
      </c>
      <c r="G13" s="17">
        <v>56.602307692307718</v>
      </c>
      <c r="H13" s="17">
        <v>318.42373626373626</v>
      </c>
      <c r="I13" s="2">
        <f t="shared" si="2"/>
        <v>0</v>
      </c>
      <c r="J13" s="2">
        <f>I13-I12</f>
        <v>0</v>
      </c>
      <c r="K13" s="2">
        <f t="shared" si="3"/>
        <v>1.4802442849183446</v>
      </c>
      <c r="L13" s="2">
        <f t="shared" si="0"/>
        <v>0.67556416882579851</v>
      </c>
      <c r="M13" s="2">
        <f t="shared" si="1"/>
        <v>0</v>
      </c>
    </row>
    <row r="14" spans="1:14">
      <c r="A14">
        <v>11</v>
      </c>
      <c r="B14">
        <v>2012</v>
      </c>
      <c r="C14" s="15">
        <v>270.77714285714285</v>
      </c>
      <c r="D14" s="17">
        <v>55.393846153846184</v>
      </c>
      <c r="E14" s="17">
        <v>326.17098901098905</v>
      </c>
      <c r="F14" s="15">
        <v>270.77714285714285</v>
      </c>
      <c r="G14" s="17">
        <v>55.393846153846184</v>
      </c>
      <c r="H14" s="17">
        <v>326.17098901098905</v>
      </c>
      <c r="I14" s="2">
        <f t="shared" si="2"/>
        <v>0</v>
      </c>
      <c r="J14" s="2">
        <f t="shared" si="4"/>
        <v>0</v>
      </c>
      <c r="K14" s="2">
        <f t="shared" si="3"/>
        <v>1.5394540563150783</v>
      </c>
      <c r="L14" s="2">
        <f t="shared" si="0"/>
        <v>0.6495809315632679</v>
      </c>
      <c r="M14" s="2">
        <f t="shared" si="1"/>
        <v>0</v>
      </c>
    </row>
    <row r="15" spans="1:14">
      <c r="A15">
        <v>12</v>
      </c>
      <c r="B15">
        <v>2013</v>
      </c>
      <c r="C15" s="15">
        <v>279.73285714285714</v>
      </c>
      <c r="D15" s="17">
        <v>54.185384615384649</v>
      </c>
      <c r="E15" s="17">
        <v>333.91824175824178</v>
      </c>
      <c r="F15" s="15">
        <v>279.73285714285714</v>
      </c>
      <c r="G15" s="17">
        <v>54.185384615384649</v>
      </c>
      <c r="H15" s="17">
        <v>333.91824175824178</v>
      </c>
      <c r="I15" s="2">
        <f t="shared" si="2"/>
        <v>0</v>
      </c>
      <c r="J15" s="2">
        <f t="shared" si="4"/>
        <v>0</v>
      </c>
      <c r="K15" s="2">
        <f t="shared" si="3"/>
        <v>1.6010322185676817</v>
      </c>
      <c r="L15" s="2">
        <f t="shared" si="0"/>
        <v>0.62459704958006512</v>
      </c>
      <c r="M15" s="2">
        <f t="shared" si="1"/>
        <v>0</v>
      </c>
    </row>
    <row r="16" spans="1:14">
      <c r="A16">
        <v>13</v>
      </c>
      <c r="B16">
        <v>2014</v>
      </c>
      <c r="C16" s="15">
        <v>288.68857142857144</v>
      </c>
      <c r="D16" s="17">
        <v>52.976923076923114</v>
      </c>
      <c r="E16" s="17">
        <v>341.66549450549456</v>
      </c>
      <c r="F16" s="15">
        <v>288.68857142857144</v>
      </c>
      <c r="G16" s="17">
        <v>52.976923076923114</v>
      </c>
      <c r="H16" s="17">
        <v>341.66549450549456</v>
      </c>
      <c r="I16" s="2">
        <f t="shared" si="2"/>
        <v>0</v>
      </c>
      <c r="J16" s="2">
        <f t="shared" si="4"/>
        <v>0</v>
      </c>
      <c r="K16" s="2">
        <f t="shared" si="3"/>
        <v>1.6650735073103891</v>
      </c>
      <c r="L16" s="2">
        <f t="shared" si="0"/>
        <v>0.600574086134678</v>
      </c>
      <c r="M16" s="2">
        <f t="shared" si="1"/>
        <v>0</v>
      </c>
    </row>
    <row r="17" spans="1:13">
      <c r="A17">
        <v>14</v>
      </c>
      <c r="B17">
        <v>2015</v>
      </c>
      <c r="C17" s="15">
        <v>297.64428571428573</v>
      </c>
      <c r="D17" s="17">
        <v>51.76846153846158</v>
      </c>
      <c r="E17" s="17">
        <v>349.41274725274729</v>
      </c>
      <c r="F17" s="15">
        <v>297.64428571428573</v>
      </c>
      <c r="G17" s="17">
        <v>51.76846153846158</v>
      </c>
      <c r="H17" s="17">
        <v>349.41274725274729</v>
      </c>
      <c r="I17" s="2">
        <f t="shared" si="2"/>
        <v>0</v>
      </c>
      <c r="J17" s="2">
        <f t="shared" si="4"/>
        <v>0</v>
      </c>
      <c r="K17" s="2">
        <f t="shared" si="3"/>
        <v>1.7316764476028046</v>
      </c>
      <c r="L17" s="2">
        <f t="shared" si="0"/>
        <v>0.57747508282180582</v>
      </c>
      <c r="M17" s="2">
        <f t="shared" si="1"/>
        <v>0</v>
      </c>
    </row>
    <row r="18" spans="1:13">
      <c r="A18">
        <v>15</v>
      </c>
      <c r="B18">
        <v>2016</v>
      </c>
      <c r="C18" s="15">
        <v>306.60000000000002</v>
      </c>
      <c r="D18" s="17">
        <v>50.56</v>
      </c>
      <c r="E18" s="17">
        <v>357.16</v>
      </c>
      <c r="F18" s="29">
        <v>306.60000000000002</v>
      </c>
      <c r="G18" s="30">
        <v>50.56</v>
      </c>
      <c r="H18" s="17">
        <v>357.16</v>
      </c>
      <c r="I18" s="2">
        <f t="shared" si="2"/>
        <v>0</v>
      </c>
      <c r="J18" s="2">
        <f t="shared" si="4"/>
        <v>0</v>
      </c>
      <c r="K18" s="2">
        <f t="shared" si="3"/>
        <v>1.8009435055069167</v>
      </c>
      <c r="L18" s="2">
        <f t="shared" si="0"/>
        <v>0.55526450271327477</v>
      </c>
      <c r="M18" s="2">
        <f t="shared" si="1"/>
        <v>0</v>
      </c>
    </row>
    <row r="19" spans="1:13">
      <c r="A19">
        <v>16</v>
      </c>
      <c r="B19">
        <v>2017</v>
      </c>
      <c r="C19" s="15">
        <v>310.32749999999999</v>
      </c>
      <c r="D19" s="17">
        <v>55.617500000000007</v>
      </c>
      <c r="E19" s="17">
        <v>365.94499999999999</v>
      </c>
      <c r="F19" s="15">
        <v>310.32749999999999</v>
      </c>
      <c r="G19" s="17">
        <v>55.617500000000007</v>
      </c>
      <c r="H19" s="17">
        <v>365.94499999999999</v>
      </c>
      <c r="I19" s="2">
        <f t="shared" si="2"/>
        <v>0</v>
      </c>
      <c r="J19" s="2">
        <f t="shared" si="4"/>
        <v>0</v>
      </c>
      <c r="K19" s="2">
        <f t="shared" si="3"/>
        <v>1.8729812457271937</v>
      </c>
      <c r="L19" s="2">
        <f t="shared" si="0"/>
        <v>0.53390817568584104</v>
      </c>
      <c r="M19" s="2">
        <f t="shared" si="1"/>
        <v>0</v>
      </c>
    </row>
    <row r="20" spans="1:13">
      <c r="A20">
        <v>17</v>
      </c>
      <c r="B20">
        <v>2018</v>
      </c>
      <c r="C20" s="15">
        <v>314.05499999999995</v>
      </c>
      <c r="D20" s="17">
        <v>60.675000000000011</v>
      </c>
      <c r="E20" s="17">
        <v>374.72999999999996</v>
      </c>
      <c r="F20" s="15">
        <v>314.05499999999995</v>
      </c>
      <c r="G20" s="17">
        <v>60.675000000000011</v>
      </c>
      <c r="H20" s="17">
        <v>374.72999999999996</v>
      </c>
      <c r="I20" s="2">
        <f t="shared" si="2"/>
        <v>0</v>
      </c>
      <c r="J20" s="2">
        <f t="shared" si="4"/>
        <v>0</v>
      </c>
      <c r="K20" s="2">
        <f t="shared" si="3"/>
        <v>1.9479004955562815</v>
      </c>
      <c r="L20" s="2">
        <f t="shared" si="0"/>
        <v>0.51337324585177024</v>
      </c>
      <c r="M20" s="2">
        <f t="shared" si="1"/>
        <v>0</v>
      </c>
    </row>
    <row r="21" spans="1:13">
      <c r="A21">
        <v>18</v>
      </c>
      <c r="B21">
        <v>2019</v>
      </c>
      <c r="C21" s="15">
        <v>317.78249999999991</v>
      </c>
      <c r="D21" s="17">
        <v>65.732500000000016</v>
      </c>
      <c r="E21" s="17">
        <v>383.51499999999993</v>
      </c>
      <c r="F21" s="15">
        <v>317.78249999999991</v>
      </c>
      <c r="G21" s="17">
        <v>65.732500000000016</v>
      </c>
      <c r="H21" s="17">
        <v>383.51499999999993</v>
      </c>
      <c r="I21" s="2">
        <f t="shared" si="2"/>
        <v>0</v>
      </c>
      <c r="J21" s="2">
        <f>I21-I20</f>
        <v>0</v>
      </c>
      <c r="K21" s="2">
        <f t="shared" si="3"/>
        <v>2.025816515378533</v>
      </c>
      <c r="L21" s="2">
        <f t="shared" si="0"/>
        <v>0.49362812101131748</v>
      </c>
      <c r="M21" s="2">
        <f t="shared" si="1"/>
        <v>0</v>
      </c>
    </row>
    <row r="22" spans="1:13">
      <c r="A22">
        <v>19</v>
      </c>
      <c r="B22">
        <v>2020</v>
      </c>
      <c r="C22" s="15"/>
      <c r="D22" s="17"/>
      <c r="E22" s="17">
        <v>306.73</v>
      </c>
      <c r="F22" s="29">
        <v>321.51</v>
      </c>
      <c r="G22" s="30">
        <v>70.790000000000006</v>
      </c>
      <c r="H22" s="17">
        <v>392.3</v>
      </c>
      <c r="I22" s="2">
        <f t="shared" si="2"/>
        <v>85.57</v>
      </c>
      <c r="J22" s="2">
        <f t="shared" si="4"/>
        <v>85.57</v>
      </c>
      <c r="K22" s="2">
        <f t="shared" si="3"/>
        <v>2.1068491759936743</v>
      </c>
      <c r="L22" s="2">
        <f t="shared" si="0"/>
        <v>0.47464242404934376</v>
      </c>
      <c r="M22" s="2">
        <f t="shared" si="1"/>
        <v>40.615152225902342</v>
      </c>
    </row>
    <row r="23" spans="1:13">
      <c r="C23" s="2"/>
      <c r="D23" s="2"/>
      <c r="E23" s="2"/>
      <c r="F23" s="2"/>
      <c r="G23" s="2"/>
      <c r="H23" s="2"/>
      <c r="I23" s="2"/>
      <c r="J23" s="7">
        <f>SUM(J3:J22)</f>
        <v>85.57</v>
      </c>
      <c r="K23" s="2"/>
      <c r="L23" s="2"/>
      <c r="M23" s="7">
        <f>SUM(M3:M22)</f>
        <v>40.615152225902342</v>
      </c>
    </row>
    <row r="24" spans="1:13" ht="28.3">
      <c r="J24" s="34" t="s">
        <v>21</v>
      </c>
      <c r="K24" s="35"/>
      <c r="L24" s="35"/>
      <c r="M24" s="34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"/>
  <sheetViews>
    <sheetView tabSelected="1" topLeftCell="A16" workbookViewId="0">
      <selection activeCell="F55" sqref="F55"/>
    </sheetView>
  </sheetViews>
  <sheetFormatPr defaultRowHeight="14.15"/>
  <cols>
    <col min="1" max="1" width="3.42578125" bestFit="1" customWidth="1"/>
    <col min="2" max="2" width="6.42578125" bestFit="1" customWidth="1"/>
    <col min="3" max="3" width="21.7109375" style="2" bestFit="1" customWidth="1"/>
    <col min="4" max="4" width="13.7109375" style="2" bestFit="1" customWidth="1"/>
    <col min="5" max="5" width="18.28515625" style="2" bestFit="1" customWidth="1"/>
    <col min="6" max="6" width="26.28515625" style="2" bestFit="1" customWidth="1"/>
    <col min="7" max="7" width="18.28515625" style="2" bestFit="1" customWidth="1"/>
    <col min="8" max="8" width="22.85546875" style="2" customWidth="1"/>
    <col min="9" max="9" width="17.7109375" style="2" customWidth="1"/>
    <col min="10" max="10" width="15.85546875" style="2" bestFit="1" customWidth="1"/>
    <col min="11" max="11" width="19.28515625" style="2" bestFit="1" customWidth="1"/>
    <col min="12" max="12" width="12.7109375" style="2" bestFit="1" customWidth="1"/>
    <col min="13" max="13" width="30.140625" style="2" bestFit="1" customWidth="1"/>
    <col min="14" max="14" width="12.7109375" bestFit="1" customWidth="1"/>
  </cols>
  <sheetData>
    <row r="1" spans="1:14">
      <c r="C1" s="5" t="s">
        <v>9</v>
      </c>
      <c r="D1" s="5" t="s">
        <v>8</v>
      </c>
      <c r="E1" s="5" t="s">
        <v>10</v>
      </c>
      <c r="F1" s="15" t="s">
        <v>1</v>
      </c>
      <c r="G1" s="15" t="s">
        <v>14</v>
      </c>
      <c r="H1" s="15" t="s">
        <v>15</v>
      </c>
      <c r="I1" s="2" t="s">
        <v>2</v>
      </c>
      <c r="J1" s="2" t="s">
        <v>3</v>
      </c>
      <c r="K1" s="2" t="s">
        <v>4</v>
      </c>
      <c r="M1" s="2" t="s">
        <v>5</v>
      </c>
    </row>
    <row r="2" spans="1:14" s="1" customFormat="1">
      <c r="B2" s="1" t="s">
        <v>13</v>
      </c>
      <c r="C2" s="13">
        <v>40</v>
      </c>
      <c r="D2" s="13">
        <v>40</v>
      </c>
      <c r="E2" s="13"/>
      <c r="F2" s="16">
        <v>51</v>
      </c>
      <c r="G2" s="16">
        <v>51</v>
      </c>
      <c r="H2" s="16">
        <v>51</v>
      </c>
      <c r="I2" s="7"/>
      <c r="J2" s="7"/>
      <c r="K2" s="7"/>
      <c r="L2" s="7"/>
      <c r="M2" s="7"/>
    </row>
    <row r="3" spans="1:14">
      <c r="A3">
        <v>0</v>
      </c>
      <c r="B3">
        <v>2001</v>
      </c>
      <c r="C3" s="31">
        <v>201.2</v>
      </c>
      <c r="D3" s="32">
        <v>57.84</v>
      </c>
      <c r="E3" s="14">
        <f>C3+D3</f>
        <v>259.03999999999996</v>
      </c>
      <c r="F3" s="29">
        <v>221.77</v>
      </c>
      <c r="G3" s="30">
        <v>58.63</v>
      </c>
      <c r="H3" s="17">
        <v>280.40000000000003</v>
      </c>
      <c r="I3" s="9">
        <f>H3-E3</f>
        <v>21.36000000000007</v>
      </c>
      <c r="J3" s="2">
        <f>I3</f>
        <v>21.36000000000007</v>
      </c>
      <c r="K3" s="2">
        <f>(1+0.004)^A3</f>
        <v>1</v>
      </c>
      <c r="L3" s="2">
        <f>1/K3</f>
        <v>1</v>
      </c>
      <c r="M3" s="2">
        <f>J3/K3</f>
        <v>21.36000000000007</v>
      </c>
    </row>
    <row r="4" spans="1:14">
      <c r="A4">
        <v>1</v>
      </c>
      <c r="B4">
        <v>2002</v>
      </c>
      <c r="C4" s="31">
        <v>157.76</v>
      </c>
      <c r="D4" s="5">
        <f>D3+(D5-D3)/2</f>
        <v>56.840500000000006</v>
      </c>
      <c r="E4" s="14">
        <f t="shared" ref="E4:E22" si="0">C4+D4</f>
        <v>214.60050000000001</v>
      </c>
      <c r="F4" s="15">
        <v>223.98000000000002</v>
      </c>
      <c r="G4" s="17">
        <v>62.45</v>
      </c>
      <c r="H4" s="17">
        <v>286.43</v>
      </c>
      <c r="I4" s="9">
        <f>H4-E4</f>
        <v>71.829499999999996</v>
      </c>
      <c r="J4" s="9">
        <f>I4-I3</f>
        <v>50.469499999999925</v>
      </c>
      <c r="K4" s="2">
        <f>(1+0.04)^A4</f>
        <v>1.04</v>
      </c>
      <c r="L4" s="2">
        <f t="shared" ref="L4:L22" si="1">1/K4</f>
        <v>0.96153846153846145</v>
      </c>
      <c r="M4" s="6">
        <f t="shared" ref="M4:M22" si="2">J4/K4</f>
        <v>48.528365384615313</v>
      </c>
    </row>
    <row r="5" spans="1:14">
      <c r="A5">
        <v>2</v>
      </c>
      <c r="B5">
        <v>2003</v>
      </c>
      <c r="C5" s="31">
        <v>157.99</v>
      </c>
      <c r="D5" s="32">
        <v>55.841000000000001</v>
      </c>
      <c r="E5" s="14">
        <f t="shared" si="0"/>
        <v>213.83100000000002</v>
      </c>
      <c r="F5" s="29">
        <v>226.19</v>
      </c>
      <c r="G5" s="30">
        <v>66.27</v>
      </c>
      <c r="H5" s="17">
        <v>292.45999999999998</v>
      </c>
      <c r="I5" s="2">
        <f t="shared" ref="I5:I22" si="3">H5-E5</f>
        <v>78.628999999999962</v>
      </c>
      <c r="J5" s="9">
        <f>I5-I4</f>
        <v>6.7994999999999663</v>
      </c>
      <c r="K5" s="2">
        <f t="shared" ref="K5:K22" si="4">(1+0.04)^A5</f>
        <v>1.0816000000000001</v>
      </c>
      <c r="L5" s="2">
        <f t="shared" si="1"/>
        <v>0.92455621301775137</v>
      </c>
      <c r="M5" s="2">
        <f t="shared" si="2"/>
        <v>6.2865199704141697</v>
      </c>
    </row>
    <row r="6" spans="1:14">
      <c r="A6">
        <v>3</v>
      </c>
      <c r="B6">
        <v>2004</v>
      </c>
      <c r="C6" s="14">
        <f>C5+($C$11-$C$5)/6</f>
        <v>162.39000000000001</v>
      </c>
      <c r="D6" s="14">
        <f>D5+($D$18-$D$5)/13</f>
        <v>55.814692307692312</v>
      </c>
      <c r="E6" s="14">
        <f t="shared" si="0"/>
        <v>218.20469230769231</v>
      </c>
      <c r="F6" s="15">
        <v>229.14333333333332</v>
      </c>
      <c r="G6" s="17">
        <v>65.061538461538461</v>
      </c>
      <c r="H6" s="17">
        <v>294.20487179487179</v>
      </c>
      <c r="I6" s="2">
        <f t="shared" si="3"/>
        <v>76.00017948717948</v>
      </c>
      <c r="J6" s="2">
        <f>I6-I5</f>
        <v>-2.6288205128204822</v>
      </c>
      <c r="K6" s="2">
        <f t="shared" si="4"/>
        <v>1.1248640000000001</v>
      </c>
      <c r="L6" s="2">
        <f t="shared" si="1"/>
        <v>0.88899635867091487</v>
      </c>
      <c r="M6" s="2">
        <f t="shared" si="2"/>
        <v>-2.3370118634968158</v>
      </c>
    </row>
    <row r="7" spans="1:14">
      <c r="A7">
        <v>4</v>
      </c>
      <c r="B7">
        <v>2005</v>
      </c>
      <c r="C7" s="14">
        <f t="shared" ref="C7:C10" si="5">C6+($C$11-$C$5)/6</f>
        <v>166.79000000000002</v>
      </c>
      <c r="D7" s="14">
        <f t="shared" ref="D7:D17" si="6">D6+($D$18-$D$5)/13</f>
        <v>55.788384615384622</v>
      </c>
      <c r="E7" s="14">
        <f t="shared" si="0"/>
        <v>222.57838461538464</v>
      </c>
      <c r="F7" s="15">
        <v>232.09666666666664</v>
      </c>
      <c r="G7" s="17">
        <v>63.853076923076927</v>
      </c>
      <c r="H7" s="17">
        <v>295.94974358974355</v>
      </c>
      <c r="I7" s="2">
        <f t="shared" si="3"/>
        <v>73.371358974358913</v>
      </c>
      <c r="J7" s="2">
        <f t="shared" ref="J7:J22" si="7">I7-I6</f>
        <v>-2.6288205128205675</v>
      </c>
      <c r="K7" s="2">
        <f t="shared" si="4"/>
        <v>1.1698585600000002</v>
      </c>
      <c r="L7" s="2">
        <f t="shared" si="1"/>
        <v>0.85480419102972571</v>
      </c>
      <c r="M7" s="2">
        <f t="shared" si="2"/>
        <v>-2.2471267918239337</v>
      </c>
    </row>
    <row r="8" spans="1:14">
      <c r="A8">
        <v>5</v>
      </c>
      <c r="B8">
        <v>2006</v>
      </c>
      <c r="C8" s="14">
        <f t="shared" si="5"/>
        <v>171.19000000000003</v>
      </c>
      <c r="D8" s="14">
        <f t="shared" si="6"/>
        <v>55.762076923076933</v>
      </c>
      <c r="E8" s="14">
        <f t="shared" si="0"/>
        <v>226.95207692307696</v>
      </c>
      <c r="F8" s="15">
        <v>235.04999999999995</v>
      </c>
      <c r="G8" s="17">
        <v>62.644615384615392</v>
      </c>
      <c r="H8" s="17">
        <v>297.69461538461536</v>
      </c>
      <c r="I8" s="2">
        <f t="shared" si="3"/>
        <v>70.742538461538402</v>
      </c>
      <c r="J8" s="2">
        <f t="shared" si="7"/>
        <v>-2.6288205128205107</v>
      </c>
      <c r="K8" s="2">
        <f t="shared" si="4"/>
        <v>1.2166529024000003</v>
      </c>
      <c r="L8" s="2">
        <f t="shared" si="1"/>
        <v>0.82192710675935154</v>
      </c>
      <c r="M8" s="2">
        <f t="shared" si="2"/>
        <v>-2.160698838292197</v>
      </c>
    </row>
    <row r="9" spans="1:14">
      <c r="A9">
        <v>6</v>
      </c>
      <c r="B9">
        <v>2007</v>
      </c>
      <c r="C9" s="14">
        <f t="shared" si="5"/>
        <v>175.59000000000003</v>
      </c>
      <c r="D9" s="14">
        <f t="shared" si="6"/>
        <v>55.735769230769243</v>
      </c>
      <c r="E9" s="14">
        <f t="shared" si="0"/>
        <v>231.32576923076928</v>
      </c>
      <c r="F9" s="15">
        <v>238.00333333333327</v>
      </c>
      <c r="G9" s="17">
        <v>61.436153846153857</v>
      </c>
      <c r="H9" s="17">
        <v>299.43948717948712</v>
      </c>
      <c r="I9" s="2">
        <f t="shared" si="3"/>
        <v>68.113717948717834</v>
      </c>
      <c r="J9" s="2">
        <f t="shared" si="7"/>
        <v>-2.6288205128205675</v>
      </c>
      <c r="K9" s="2">
        <f t="shared" si="4"/>
        <v>1.2653190184960004</v>
      </c>
      <c r="L9" s="2">
        <f t="shared" si="1"/>
        <v>0.79031452573014571</v>
      </c>
      <c r="M9" s="2">
        <f t="shared" si="2"/>
        <v>-2.0775950368194653</v>
      </c>
    </row>
    <row r="10" spans="1:14">
      <c r="A10">
        <v>7</v>
      </c>
      <c r="B10">
        <v>2008</v>
      </c>
      <c r="C10" s="14">
        <f t="shared" si="5"/>
        <v>179.99000000000004</v>
      </c>
      <c r="D10" s="14">
        <f t="shared" si="6"/>
        <v>55.709461538461554</v>
      </c>
      <c r="E10" s="14">
        <f t="shared" si="0"/>
        <v>235.69946153846161</v>
      </c>
      <c r="F10" s="15">
        <v>240.95666666666659</v>
      </c>
      <c r="G10" s="17">
        <v>60.227692307692323</v>
      </c>
      <c r="H10" s="17">
        <v>301.18435897435893</v>
      </c>
      <c r="I10" s="2">
        <f t="shared" si="3"/>
        <v>65.484897435897324</v>
      </c>
      <c r="J10" s="2">
        <f t="shared" si="7"/>
        <v>-2.6288205128205107</v>
      </c>
      <c r="K10" s="2">
        <f t="shared" si="4"/>
        <v>1.3159317792358403</v>
      </c>
      <c r="L10" s="2">
        <f t="shared" si="1"/>
        <v>0.75991781320206331</v>
      </c>
      <c r="M10" s="2">
        <f t="shared" si="2"/>
        <v>-1.997687535403289</v>
      </c>
    </row>
    <row r="11" spans="1:14" ht="13.4" customHeight="1">
      <c r="A11">
        <v>8</v>
      </c>
      <c r="B11">
        <v>2009</v>
      </c>
      <c r="C11" s="31">
        <v>184.39</v>
      </c>
      <c r="D11" s="14">
        <f t="shared" si="6"/>
        <v>55.683153846153864</v>
      </c>
      <c r="E11" s="14">
        <f t="shared" si="0"/>
        <v>240.07315384615384</v>
      </c>
      <c r="F11" s="29">
        <v>243.91</v>
      </c>
      <c r="G11" s="17">
        <v>59.019230769230788</v>
      </c>
      <c r="H11" s="17">
        <v>302.9292307692308</v>
      </c>
      <c r="I11" s="2">
        <f t="shared" si="3"/>
        <v>62.856076923076955</v>
      </c>
      <c r="J11" s="2">
        <f t="shared" si="7"/>
        <v>-2.6288205128203685</v>
      </c>
      <c r="K11" s="2">
        <f t="shared" si="4"/>
        <v>1.3685690504052741</v>
      </c>
      <c r="L11" s="2">
        <f t="shared" si="1"/>
        <v>0.73069020500198378</v>
      </c>
      <c r="M11" s="2">
        <f t="shared" si="2"/>
        <v>-1.9208533994261352</v>
      </c>
      <c r="N11" s="1"/>
    </row>
    <row r="12" spans="1:14">
      <c r="A12">
        <v>9</v>
      </c>
      <c r="B12">
        <v>2010</v>
      </c>
      <c r="C12" s="31">
        <v>165.47</v>
      </c>
      <c r="D12" s="14">
        <f t="shared" si="6"/>
        <v>55.656846153846175</v>
      </c>
      <c r="E12" s="14">
        <f t="shared" si="0"/>
        <v>221.12684615384617</v>
      </c>
      <c r="F12" s="15">
        <v>252.86571428571429</v>
      </c>
      <c r="G12" s="17">
        <v>57.810769230769253</v>
      </c>
      <c r="H12" s="17">
        <v>310.67648351648353</v>
      </c>
      <c r="I12" s="2">
        <f t="shared" si="3"/>
        <v>89.549637362637355</v>
      </c>
      <c r="J12" s="2">
        <f t="shared" si="7"/>
        <v>26.6935604395604</v>
      </c>
      <c r="K12" s="2">
        <f t="shared" si="4"/>
        <v>1.4233118124214852</v>
      </c>
      <c r="L12" s="2">
        <f t="shared" si="1"/>
        <v>0.70258673557883045</v>
      </c>
      <c r="M12" s="2">
        <f t="shared" si="2"/>
        <v>18.754541490206954</v>
      </c>
    </row>
    <row r="13" spans="1:14">
      <c r="A13">
        <v>10</v>
      </c>
      <c r="B13">
        <v>2011</v>
      </c>
      <c r="C13" s="14">
        <f>C12+($C$18-$C$12)/6</f>
        <v>173.27666666666667</v>
      </c>
      <c r="D13" s="14">
        <f t="shared" si="6"/>
        <v>55.630538461538485</v>
      </c>
      <c r="E13" s="14">
        <f t="shared" si="0"/>
        <v>228.90720512820516</v>
      </c>
      <c r="F13" s="15">
        <v>261.82142857142856</v>
      </c>
      <c r="G13" s="17">
        <v>56.602307692307718</v>
      </c>
      <c r="H13" s="17">
        <v>318.42373626373626</v>
      </c>
      <c r="I13" s="2">
        <f t="shared" si="3"/>
        <v>89.516531135531096</v>
      </c>
      <c r="J13" s="2">
        <f>I13-I12</f>
        <v>-3.3106227106259212E-2</v>
      </c>
      <c r="K13" s="2">
        <f t="shared" si="4"/>
        <v>1.4802442849183446</v>
      </c>
      <c r="L13" s="2">
        <f t="shared" si="1"/>
        <v>0.67556416882579851</v>
      </c>
      <c r="M13" s="2">
        <f t="shared" si="2"/>
        <v>-2.2365380797998127E-2</v>
      </c>
    </row>
    <row r="14" spans="1:14">
      <c r="A14">
        <v>11</v>
      </c>
      <c r="B14">
        <v>2012</v>
      </c>
      <c r="C14" s="14">
        <f t="shared" ref="C14:C17" si="8">C13+($C$18-$C$12)/6</f>
        <v>181.08333333333334</v>
      </c>
      <c r="D14" s="14">
        <f t="shared" si="6"/>
        <v>55.604230769230796</v>
      </c>
      <c r="E14" s="14">
        <f t="shared" si="0"/>
        <v>236.68756410256412</v>
      </c>
      <c r="F14" s="15">
        <v>270.77714285714285</v>
      </c>
      <c r="G14" s="17">
        <v>55.393846153846184</v>
      </c>
      <c r="H14" s="17">
        <v>326.17098901098905</v>
      </c>
      <c r="I14" s="2">
        <f t="shared" si="3"/>
        <v>89.483424908424922</v>
      </c>
      <c r="J14" s="2">
        <f t="shared" si="7"/>
        <v>-3.3106227106173947E-2</v>
      </c>
      <c r="K14" s="2">
        <f t="shared" si="4"/>
        <v>1.5394540563150783</v>
      </c>
      <c r="L14" s="2">
        <f t="shared" si="1"/>
        <v>0.6495809315632679</v>
      </c>
      <c r="M14" s="2">
        <f t="shared" si="2"/>
        <v>-2.1505173844173584E-2</v>
      </c>
    </row>
    <row r="15" spans="1:14">
      <c r="A15">
        <v>12</v>
      </c>
      <c r="B15">
        <v>2013</v>
      </c>
      <c r="C15" s="14">
        <f t="shared" si="8"/>
        <v>188.89000000000001</v>
      </c>
      <c r="D15" s="14">
        <f t="shared" si="6"/>
        <v>55.577923076923106</v>
      </c>
      <c r="E15" s="14">
        <f t="shared" si="0"/>
        <v>244.46792307692311</v>
      </c>
      <c r="F15" s="15">
        <v>279.73285714285714</v>
      </c>
      <c r="G15" s="17">
        <v>54.185384615384649</v>
      </c>
      <c r="H15" s="17">
        <v>333.91824175824178</v>
      </c>
      <c r="I15" s="2">
        <f t="shared" si="3"/>
        <v>89.450318681318663</v>
      </c>
      <c r="J15" s="2">
        <f t="shared" si="7"/>
        <v>-3.3106227106259212E-2</v>
      </c>
      <c r="K15" s="2">
        <f t="shared" si="4"/>
        <v>1.6010322185676817</v>
      </c>
      <c r="L15" s="2">
        <f t="shared" si="1"/>
        <v>0.62459704958006512</v>
      </c>
      <c r="M15" s="2">
        <f t="shared" si="2"/>
        <v>-2.0678051773297082E-2</v>
      </c>
    </row>
    <row r="16" spans="1:14">
      <c r="A16">
        <v>13</v>
      </c>
      <c r="B16">
        <v>2014</v>
      </c>
      <c r="C16" s="14">
        <f t="shared" si="8"/>
        <v>196.69666666666669</v>
      </c>
      <c r="D16" s="14">
        <f t="shared" si="6"/>
        <v>55.551615384615417</v>
      </c>
      <c r="E16" s="14">
        <f t="shared" si="0"/>
        <v>252.2482820512821</v>
      </c>
      <c r="F16" s="15">
        <v>288.68857142857144</v>
      </c>
      <c r="G16" s="17">
        <v>52.976923076923114</v>
      </c>
      <c r="H16" s="17">
        <v>341.66549450549456</v>
      </c>
      <c r="I16" s="2">
        <f t="shared" si="3"/>
        <v>89.417212454212461</v>
      </c>
      <c r="J16" s="2">
        <f t="shared" si="7"/>
        <v>-3.3106227106202368E-2</v>
      </c>
      <c r="K16" s="2">
        <f t="shared" si="4"/>
        <v>1.6650735073103891</v>
      </c>
      <c r="L16" s="2">
        <f t="shared" si="1"/>
        <v>0.600574086134678</v>
      </c>
      <c r="M16" s="2">
        <f t="shared" si="2"/>
        <v>-1.9882742089674593E-2</v>
      </c>
    </row>
    <row r="17" spans="1:14">
      <c r="A17">
        <v>14</v>
      </c>
      <c r="B17">
        <v>2015</v>
      </c>
      <c r="C17" s="14">
        <f t="shared" si="8"/>
        <v>204.50333333333336</v>
      </c>
      <c r="D17" s="14">
        <f t="shared" si="6"/>
        <v>55.525307692307727</v>
      </c>
      <c r="E17" s="14">
        <f t="shared" si="0"/>
        <v>260.02864102564109</v>
      </c>
      <c r="F17" s="15">
        <v>297.64428571428573</v>
      </c>
      <c r="G17" s="17">
        <v>51.76846153846158</v>
      </c>
      <c r="H17" s="17">
        <v>349.41274725274729</v>
      </c>
      <c r="I17" s="2">
        <f t="shared" si="3"/>
        <v>89.384106227106201</v>
      </c>
      <c r="J17" s="2">
        <f t="shared" si="7"/>
        <v>-3.3106227106259212E-2</v>
      </c>
      <c r="K17" s="2">
        <f t="shared" si="4"/>
        <v>1.7316764476028046</v>
      </c>
      <c r="L17" s="2">
        <f t="shared" si="1"/>
        <v>0.57747508282180582</v>
      </c>
      <c r="M17" s="2">
        <f t="shared" si="2"/>
        <v>-1.911802124010455E-2</v>
      </c>
    </row>
    <row r="18" spans="1:14">
      <c r="A18">
        <v>15</v>
      </c>
      <c r="B18">
        <v>2016</v>
      </c>
      <c r="C18" s="31">
        <v>212.31</v>
      </c>
      <c r="D18" s="32">
        <v>55.499000000000002</v>
      </c>
      <c r="E18" s="14">
        <f t="shared" si="0"/>
        <v>267.80900000000003</v>
      </c>
      <c r="F18" s="29">
        <v>306.60000000000002</v>
      </c>
      <c r="G18" s="30">
        <v>50.56</v>
      </c>
      <c r="H18" s="17">
        <v>357.16</v>
      </c>
      <c r="I18" s="2">
        <f t="shared" si="3"/>
        <v>89.350999999999999</v>
      </c>
      <c r="J18" s="2">
        <f t="shared" si="7"/>
        <v>-3.3106227106202368E-2</v>
      </c>
      <c r="K18" s="2">
        <f t="shared" si="4"/>
        <v>1.8009435055069167</v>
      </c>
      <c r="L18" s="2">
        <f t="shared" si="1"/>
        <v>0.55526450271327477</v>
      </c>
      <c r="M18" s="2">
        <f t="shared" si="2"/>
        <v>-1.8382712730838198E-2</v>
      </c>
    </row>
    <row r="19" spans="1:14">
      <c r="A19">
        <v>16</v>
      </c>
      <c r="B19">
        <v>2017</v>
      </c>
      <c r="C19" s="31">
        <v>197.87</v>
      </c>
      <c r="D19" s="5">
        <f>D18+($D$22-$D$18)/4</f>
        <v>56.539250000000003</v>
      </c>
      <c r="E19" s="14">
        <f t="shared" si="0"/>
        <v>254.40925000000001</v>
      </c>
      <c r="F19" s="15">
        <v>310.32749999999999</v>
      </c>
      <c r="G19" s="17">
        <v>55.617500000000007</v>
      </c>
      <c r="H19" s="17">
        <v>365.94499999999999</v>
      </c>
      <c r="I19" s="2">
        <f t="shared" si="3"/>
        <v>111.53574999999998</v>
      </c>
      <c r="J19" s="2">
        <f t="shared" si="7"/>
        <v>22.18474999999998</v>
      </c>
      <c r="K19" s="2">
        <f t="shared" si="4"/>
        <v>1.8729812457271937</v>
      </c>
      <c r="L19" s="2">
        <f t="shared" si="1"/>
        <v>0.53390817568584104</v>
      </c>
      <c r="M19" s="2">
        <f t="shared" si="2"/>
        <v>11.844619400546453</v>
      </c>
    </row>
    <row r="20" spans="1:14">
      <c r="A20">
        <v>17</v>
      </c>
      <c r="B20">
        <v>2018</v>
      </c>
      <c r="C20" s="14">
        <f>C19+($C$22-$C$19)/3</f>
        <v>204.36333333333334</v>
      </c>
      <c r="D20" s="5">
        <f t="shared" ref="D20:D21" si="9">D19+($D$22-$D$18)/4</f>
        <v>57.579500000000003</v>
      </c>
      <c r="E20" s="14">
        <f t="shared" si="0"/>
        <v>261.94283333333334</v>
      </c>
      <c r="F20" s="15">
        <v>314.05499999999995</v>
      </c>
      <c r="G20" s="17">
        <v>60.675000000000011</v>
      </c>
      <c r="H20" s="17">
        <v>374.72999999999996</v>
      </c>
      <c r="I20" s="2">
        <f t="shared" si="3"/>
        <v>112.78716666666662</v>
      </c>
      <c r="J20" s="2">
        <f t="shared" si="7"/>
        <v>1.2514166666666426</v>
      </c>
      <c r="K20" s="2">
        <f t="shared" si="4"/>
        <v>1.9479004955562815</v>
      </c>
      <c r="L20" s="2">
        <f t="shared" si="1"/>
        <v>0.51337324585177024</v>
      </c>
      <c r="M20" s="2">
        <f t="shared" si="2"/>
        <v>0.64244383607965716</v>
      </c>
    </row>
    <row r="21" spans="1:14">
      <c r="A21">
        <v>18</v>
      </c>
      <c r="B21">
        <v>2019</v>
      </c>
      <c r="C21" s="14">
        <f>C20+($C$22-$C$19)/3</f>
        <v>210.85666666666668</v>
      </c>
      <c r="D21" s="5">
        <f t="shared" si="9"/>
        <v>58.619750000000003</v>
      </c>
      <c r="E21" s="14">
        <f t="shared" si="0"/>
        <v>269.47641666666669</v>
      </c>
      <c r="F21" s="15">
        <v>317.78249999999991</v>
      </c>
      <c r="G21" s="17">
        <v>65.732500000000016</v>
      </c>
      <c r="H21" s="17">
        <v>383.51499999999993</v>
      </c>
      <c r="I21" s="2">
        <f t="shared" si="3"/>
        <v>114.03858333333324</v>
      </c>
      <c r="J21" s="2">
        <f>I21-I20</f>
        <v>1.2514166666666142</v>
      </c>
      <c r="K21" s="2">
        <f t="shared" si="4"/>
        <v>2.025816515378533</v>
      </c>
      <c r="L21" s="2">
        <f t="shared" si="1"/>
        <v>0.49362812101131748</v>
      </c>
      <c r="M21" s="2">
        <f t="shared" si="2"/>
        <v>0.61773445776888702</v>
      </c>
    </row>
    <row r="22" spans="1:14">
      <c r="A22">
        <v>19</v>
      </c>
      <c r="B22">
        <v>2020</v>
      </c>
      <c r="C22" s="31">
        <v>217.35</v>
      </c>
      <c r="D22" s="32">
        <v>59.66</v>
      </c>
      <c r="E22" s="14">
        <f t="shared" si="0"/>
        <v>277.01</v>
      </c>
      <c r="F22" s="29">
        <v>321.51</v>
      </c>
      <c r="G22" s="30">
        <v>70.790000000000006</v>
      </c>
      <c r="H22" s="17">
        <v>392.3</v>
      </c>
      <c r="I22" s="2">
        <f t="shared" si="3"/>
        <v>115.29000000000002</v>
      </c>
      <c r="J22" s="2">
        <f t="shared" si="7"/>
        <v>1.2514166666667847</v>
      </c>
      <c r="K22" s="2">
        <f t="shared" si="4"/>
        <v>2.1068491759936743</v>
      </c>
      <c r="L22" s="2">
        <f t="shared" si="1"/>
        <v>0.47464242404934376</v>
      </c>
      <c r="M22" s="2">
        <f t="shared" si="2"/>
        <v>0.59397544016247228</v>
      </c>
    </row>
    <row r="23" spans="1:14">
      <c r="J23" s="7">
        <f>SUM(J3:J22)</f>
        <v>115.29000000000002</v>
      </c>
      <c r="M23" s="7">
        <f>SUM(M3:M22)</f>
        <v>95.765294432056081</v>
      </c>
    </row>
    <row r="24" spans="1:14">
      <c r="J24" s="32">
        <f>J23-J3</f>
        <v>93.92999999999995</v>
      </c>
      <c r="M24" s="32">
        <f>M23-J3</f>
        <v>74.40529443205601</v>
      </c>
    </row>
    <row r="25" spans="1:14" ht="28.3">
      <c r="J25" s="34" t="s">
        <v>21</v>
      </c>
      <c r="K25" s="35"/>
      <c r="L25" s="35"/>
      <c r="M25" s="34" t="s">
        <v>22</v>
      </c>
    </row>
    <row r="26" spans="1:14">
      <c r="A26" s="36" t="s">
        <v>24</v>
      </c>
      <c r="B26" s="36"/>
      <c r="C26" s="36"/>
    </row>
    <row r="28" spans="1:14">
      <c r="C28" s="5" t="s">
        <v>9</v>
      </c>
      <c r="D28" s="5" t="s">
        <v>8</v>
      </c>
      <c r="E28" s="5" t="s">
        <v>10</v>
      </c>
      <c r="F28" s="15" t="s">
        <v>1</v>
      </c>
      <c r="G28" s="15" t="s">
        <v>14</v>
      </c>
      <c r="H28" s="15" t="s">
        <v>15</v>
      </c>
      <c r="I28" s="2" t="s">
        <v>2</v>
      </c>
      <c r="J28" s="2" t="s">
        <v>3</v>
      </c>
      <c r="K28" s="2" t="s">
        <v>4</v>
      </c>
      <c r="M28" s="2" t="s">
        <v>5</v>
      </c>
    </row>
    <row r="29" spans="1:14">
      <c r="A29" s="1"/>
      <c r="B29" s="1" t="s">
        <v>13</v>
      </c>
      <c r="C29" s="13">
        <v>40</v>
      </c>
      <c r="D29" s="13">
        <v>40</v>
      </c>
      <c r="E29" s="13"/>
      <c r="F29" s="16">
        <v>51</v>
      </c>
      <c r="G29" s="16">
        <v>51</v>
      </c>
      <c r="H29" s="16">
        <v>51</v>
      </c>
      <c r="I29" s="7"/>
      <c r="J29" s="7"/>
      <c r="K29" s="7"/>
      <c r="L29" s="7"/>
      <c r="M29" s="7"/>
      <c r="N29" s="1"/>
    </row>
    <row r="30" spans="1:14">
      <c r="A30">
        <v>0</v>
      </c>
      <c r="B30">
        <v>2001</v>
      </c>
      <c r="C30" s="31">
        <v>201.2</v>
      </c>
      <c r="D30" s="32">
        <v>57.84</v>
      </c>
      <c r="E30" s="14">
        <f>C30+D30</f>
        <v>259.03999999999996</v>
      </c>
      <c r="F30" s="29">
        <v>221.77</v>
      </c>
      <c r="G30" s="30">
        <v>58.63</v>
      </c>
      <c r="H30" s="17">
        <v>280.40000000000003</v>
      </c>
      <c r="I30" s="9">
        <f>H30-E30</f>
        <v>21.36000000000007</v>
      </c>
      <c r="J30" s="2">
        <f>I30</f>
        <v>21.36000000000007</v>
      </c>
      <c r="K30" s="2">
        <f>(1+0.004)^A30</f>
        <v>1</v>
      </c>
      <c r="L30" s="2">
        <f>1/K30</f>
        <v>1</v>
      </c>
      <c r="M30" s="2">
        <f>J30/K30</f>
        <v>21.36000000000007</v>
      </c>
    </row>
    <row r="31" spans="1:14">
      <c r="A31">
        <v>1</v>
      </c>
      <c r="B31">
        <v>2002</v>
      </c>
      <c r="C31" s="31">
        <v>157.76</v>
      </c>
      <c r="D31" s="5">
        <f>D30+(D32-D30)/2</f>
        <v>56.840500000000006</v>
      </c>
      <c r="E31" s="14">
        <f t="shared" ref="E31:E48" si="10">C31+D31</f>
        <v>214.60050000000001</v>
      </c>
      <c r="F31" s="15">
        <v>223.98000000000002</v>
      </c>
      <c r="G31" s="17">
        <v>62.45</v>
      </c>
      <c r="H31" s="17">
        <v>286.43</v>
      </c>
      <c r="I31" s="9">
        <f>H31-E31</f>
        <v>71.829499999999996</v>
      </c>
      <c r="J31" s="9">
        <f>I31-I30</f>
        <v>50.469499999999925</v>
      </c>
      <c r="K31" s="2">
        <f>(1+0.04)^A31</f>
        <v>1.04</v>
      </c>
      <c r="L31" s="2">
        <f t="shared" ref="L31:L49" si="11">1/K31</f>
        <v>0.96153846153846145</v>
      </c>
      <c r="M31" s="6">
        <f t="shared" ref="M31:M49" si="12">J31/K31</f>
        <v>48.528365384615313</v>
      </c>
    </row>
    <row r="32" spans="1:14">
      <c r="A32">
        <v>2</v>
      </c>
      <c r="B32">
        <v>2003</v>
      </c>
      <c r="C32" s="31">
        <v>157.99</v>
      </c>
      <c r="D32" s="32">
        <v>55.841000000000001</v>
      </c>
      <c r="E32" s="14">
        <f t="shared" si="10"/>
        <v>213.83100000000002</v>
      </c>
      <c r="F32" s="29">
        <v>226.19</v>
      </c>
      <c r="G32" s="30">
        <v>66.27</v>
      </c>
      <c r="H32" s="17">
        <v>292.45999999999998</v>
      </c>
      <c r="I32" s="2">
        <f t="shared" ref="I32:I49" si="13">H32-E32</f>
        <v>78.628999999999962</v>
      </c>
      <c r="J32" s="9">
        <f>I32-I31</f>
        <v>6.7994999999999663</v>
      </c>
      <c r="K32" s="2">
        <f t="shared" ref="K32:K49" si="14">(1+0.04)^A32</f>
        <v>1.0816000000000001</v>
      </c>
      <c r="L32" s="2">
        <f t="shared" si="11"/>
        <v>0.92455621301775137</v>
      </c>
      <c r="M32" s="2">
        <f t="shared" si="12"/>
        <v>6.2865199704141697</v>
      </c>
    </row>
    <row r="33" spans="1:14">
      <c r="A33">
        <v>3</v>
      </c>
      <c r="B33">
        <v>2004</v>
      </c>
      <c r="C33" s="14">
        <f>C32+($C$11-$C$5)/6</f>
        <v>162.39000000000001</v>
      </c>
      <c r="D33" s="14">
        <f>D32+($D$18-$D$5)/13</f>
        <v>55.814692307692312</v>
      </c>
      <c r="E33" s="14">
        <f t="shared" si="10"/>
        <v>218.20469230769231</v>
      </c>
      <c r="F33" s="15">
        <v>229.14333333333332</v>
      </c>
      <c r="G33" s="17">
        <v>65.061538461538461</v>
      </c>
      <c r="H33" s="17">
        <v>294.20487179487179</v>
      </c>
      <c r="I33" s="2">
        <f t="shared" si="13"/>
        <v>76.00017948717948</v>
      </c>
      <c r="J33" s="2">
        <f>I33-I32</f>
        <v>-2.6288205128204822</v>
      </c>
      <c r="K33" s="2">
        <f t="shared" si="14"/>
        <v>1.1248640000000001</v>
      </c>
      <c r="L33" s="2">
        <f t="shared" si="11"/>
        <v>0.88899635867091487</v>
      </c>
      <c r="M33" s="2">
        <f t="shared" si="12"/>
        <v>-2.3370118634968158</v>
      </c>
    </row>
    <row r="34" spans="1:14">
      <c r="A34">
        <v>4</v>
      </c>
      <c r="B34">
        <v>2005</v>
      </c>
      <c r="C34" s="14">
        <f t="shared" ref="C34:C37" si="15">C33+($C$11-$C$5)/6</f>
        <v>166.79000000000002</v>
      </c>
      <c r="D34" s="14">
        <f t="shared" ref="D34:D44" si="16">D33+($D$18-$D$5)/13</f>
        <v>55.788384615384622</v>
      </c>
      <c r="E34" s="14">
        <f t="shared" si="10"/>
        <v>222.57838461538464</v>
      </c>
      <c r="F34" s="15">
        <v>232.09666666666664</v>
      </c>
      <c r="G34" s="17">
        <v>63.853076923076927</v>
      </c>
      <c r="H34" s="17">
        <v>295.94974358974355</v>
      </c>
      <c r="I34" s="2">
        <f t="shared" si="13"/>
        <v>73.371358974358913</v>
      </c>
      <c r="J34" s="2">
        <f t="shared" ref="J34:J39" si="17">I34-I33</f>
        <v>-2.6288205128205675</v>
      </c>
      <c r="K34" s="2">
        <f t="shared" si="14"/>
        <v>1.1698585600000002</v>
      </c>
      <c r="L34" s="2">
        <f t="shared" si="11"/>
        <v>0.85480419102972571</v>
      </c>
      <c r="M34" s="2">
        <f t="shared" si="12"/>
        <v>-2.2471267918239337</v>
      </c>
    </row>
    <row r="35" spans="1:14">
      <c r="A35">
        <v>5</v>
      </c>
      <c r="B35">
        <v>2006</v>
      </c>
      <c r="C35" s="14">
        <f t="shared" si="15"/>
        <v>171.19000000000003</v>
      </c>
      <c r="D35" s="14">
        <f t="shared" si="16"/>
        <v>55.762076923076933</v>
      </c>
      <c r="E35" s="14">
        <f t="shared" si="10"/>
        <v>226.95207692307696</v>
      </c>
      <c r="F35" s="15">
        <v>235.04999999999995</v>
      </c>
      <c r="G35" s="17">
        <v>62.644615384615392</v>
      </c>
      <c r="H35" s="17">
        <v>297.69461538461536</v>
      </c>
      <c r="I35" s="2">
        <f t="shared" si="13"/>
        <v>70.742538461538402</v>
      </c>
      <c r="J35" s="2">
        <f t="shared" si="17"/>
        <v>-2.6288205128205107</v>
      </c>
      <c r="K35" s="2">
        <f t="shared" si="14"/>
        <v>1.2166529024000003</v>
      </c>
      <c r="L35" s="2">
        <f t="shared" si="11"/>
        <v>0.82192710675935154</v>
      </c>
      <c r="M35" s="2">
        <f t="shared" si="12"/>
        <v>-2.160698838292197</v>
      </c>
    </row>
    <row r="36" spans="1:14">
      <c r="A36">
        <v>6</v>
      </c>
      <c r="B36">
        <v>2007</v>
      </c>
      <c r="C36" s="14">
        <f t="shared" si="15"/>
        <v>175.59000000000003</v>
      </c>
      <c r="D36" s="14">
        <f t="shared" si="16"/>
        <v>55.735769230769243</v>
      </c>
      <c r="E36" s="14">
        <f t="shared" si="10"/>
        <v>231.32576923076928</v>
      </c>
      <c r="F36" s="15">
        <v>238.00333333333327</v>
      </c>
      <c r="G36" s="17">
        <v>61.436153846153857</v>
      </c>
      <c r="H36" s="17">
        <v>299.43948717948712</v>
      </c>
      <c r="I36" s="2">
        <f t="shared" si="13"/>
        <v>68.113717948717834</v>
      </c>
      <c r="J36" s="2">
        <f t="shared" si="17"/>
        <v>-2.6288205128205675</v>
      </c>
      <c r="K36" s="2">
        <f t="shared" si="14"/>
        <v>1.2653190184960004</v>
      </c>
      <c r="L36" s="2">
        <f t="shared" si="11"/>
        <v>0.79031452573014571</v>
      </c>
      <c r="M36" s="2">
        <f t="shared" si="12"/>
        <v>-2.0775950368194653</v>
      </c>
    </row>
    <row r="37" spans="1:14">
      <c r="A37">
        <v>7</v>
      </c>
      <c r="B37">
        <v>2008</v>
      </c>
      <c r="C37" s="14">
        <f t="shared" si="15"/>
        <v>179.99000000000004</v>
      </c>
      <c r="D37" s="14">
        <f t="shared" si="16"/>
        <v>55.709461538461554</v>
      </c>
      <c r="E37" s="14">
        <f t="shared" si="10"/>
        <v>235.69946153846161</v>
      </c>
      <c r="F37" s="15">
        <v>240.95666666666659</v>
      </c>
      <c r="G37" s="17">
        <v>60.227692307692323</v>
      </c>
      <c r="H37" s="17">
        <v>301.18435897435893</v>
      </c>
      <c r="I37" s="2">
        <f t="shared" si="13"/>
        <v>65.484897435897324</v>
      </c>
      <c r="J37" s="2">
        <f t="shared" si="17"/>
        <v>-2.6288205128205107</v>
      </c>
      <c r="K37" s="2">
        <f t="shared" si="14"/>
        <v>1.3159317792358403</v>
      </c>
      <c r="L37" s="2">
        <f t="shared" si="11"/>
        <v>0.75991781320206331</v>
      </c>
      <c r="M37" s="2">
        <f t="shared" si="12"/>
        <v>-1.997687535403289</v>
      </c>
    </row>
    <row r="38" spans="1:14">
      <c r="A38">
        <v>8</v>
      </c>
      <c r="B38">
        <v>2009</v>
      </c>
      <c r="C38" s="31">
        <v>184.39</v>
      </c>
      <c r="D38" s="14">
        <f t="shared" si="16"/>
        <v>55.683153846153864</v>
      </c>
      <c r="E38" s="14">
        <f t="shared" si="10"/>
        <v>240.07315384615384</v>
      </c>
      <c r="F38" s="29">
        <v>243.91</v>
      </c>
      <c r="G38" s="17">
        <v>59.019230769230788</v>
      </c>
      <c r="H38" s="17">
        <v>302.9292307692308</v>
      </c>
      <c r="I38" s="2">
        <f t="shared" si="13"/>
        <v>62.856076923076955</v>
      </c>
      <c r="J38" s="2">
        <f t="shared" si="17"/>
        <v>-2.6288205128203685</v>
      </c>
      <c r="K38" s="2">
        <f t="shared" si="14"/>
        <v>1.3685690504052741</v>
      </c>
      <c r="L38" s="2">
        <f t="shared" si="11"/>
        <v>0.73069020500198378</v>
      </c>
      <c r="M38" s="2">
        <f t="shared" si="12"/>
        <v>-1.9208533994261352</v>
      </c>
      <c r="N38" s="1"/>
    </row>
    <row r="39" spans="1:14">
      <c r="A39">
        <v>9</v>
      </c>
      <c r="B39">
        <v>2010</v>
      </c>
      <c r="C39" s="31">
        <v>165.47</v>
      </c>
      <c r="D39" s="14">
        <f t="shared" si="16"/>
        <v>55.656846153846175</v>
      </c>
      <c r="E39" s="14">
        <f t="shared" si="10"/>
        <v>221.12684615384617</v>
      </c>
      <c r="F39" s="15">
        <v>252.86571428571429</v>
      </c>
      <c r="G39" s="17">
        <v>57.810769230769253</v>
      </c>
      <c r="H39" s="17">
        <v>310.67648351648353</v>
      </c>
      <c r="I39" s="2">
        <f t="shared" si="13"/>
        <v>89.549637362637355</v>
      </c>
      <c r="J39" s="2">
        <f t="shared" si="17"/>
        <v>26.6935604395604</v>
      </c>
      <c r="K39" s="2">
        <f t="shared" si="14"/>
        <v>1.4233118124214852</v>
      </c>
      <c r="L39" s="2">
        <f t="shared" si="11"/>
        <v>0.70258673557883045</v>
      </c>
      <c r="M39" s="2">
        <f t="shared" si="12"/>
        <v>18.754541490206954</v>
      </c>
    </row>
    <row r="40" spans="1:14">
      <c r="A40">
        <v>10</v>
      </c>
      <c r="B40">
        <v>2011</v>
      </c>
      <c r="C40" s="14">
        <f>C39+($C$18-$C$12)/6</f>
        <v>173.27666666666667</v>
      </c>
      <c r="D40" s="14">
        <f t="shared" si="16"/>
        <v>55.630538461538485</v>
      </c>
      <c r="E40" s="14">
        <f t="shared" si="10"/>
        <v>228.90720512820516</v>
      </c>
      <c r="F40" s="15">
        <v>261.82142857142856</v>
      </c>
      <c r="G40" s="17">
        <v>56.602307692307718</v>
      </c>
      <c r="H40" s="17">
        <v>318.42373626373626</v>
      </c>
      <c r="I40" s="2">
        <f t="shared" si="13"/>
        <v>89.516531135531096</v>
      </c>
      <c r="J40" s="2">
        <f>I40-I39</f>
        <v>-3.3106227106259212E-2</v>
      </c>
      <c r="K40" s="2">
        <f t="shared" si="14"/>
        <v>1.4802442849183446</v>
      </c>
      <c r="L40" s="2">
        <f t="shared" si="11"/>
        <v>0.67556416882579851</v>
      </c>
      <c r="M40" s="2">
        <f t="shared" si="12"/>
        <v>-2.2365380797998127E-2</v>
      </c>
    </row>
    <row r="41" spans="1:14">
      <c r="A41">
        <v>11</v>
      </c>
      <c r="B41">
        <v>2012</v>
      </c>
      <c r="C41" s="14">
        <f t="shared" ref="C41:C44" si="18">C40+($C$18-$C$12)/6</f>
        <v>181.08333333333334</v>
      </c>
      <c r="D41" s="14">
        <f t="shared" si="16"/>
        <v>55.604230769230796</v>
      </c>
      <c r="E41" s="14">
        <f t="shared" si="10"/>
        <v>236.68756410256412</v>
      </c>
      <c r="F41" s="15">
        <v>270.77714285714285</v>
      </c>
      <c r="G41" s="17">
        <v>55.393846153846184</v>
      </c>
      <c r="H41" s="17">
        <v>326.17098901098905</v>
      </c>
      <c r="I41" s="2">
        <f t="shared" si="13"/>
        <v>89.483424908424922</v>
      </c>
      <c r="J41" s="2">
        <f t="shared" ref="J41:J47" si="19">I41-I40</f>
        <v>-3.3106227106173947E-2</v>
      </c>
      <c r="K41" s="2">
        <f t="shared" si="14"/>
        <v>1.5394540563150783</v>
      </c>
      <c r="L41" s="2">
        <f t="shared" si="11"/>
        <v>0.6495809315632679</v>
      </c>
      <c r="M41" s="2">
        <f t="shared" si="12"/>
        <v>-2.1505173844173584E-2</v>
      </c>
    </row>
    <row r="42" spans="1:14">
      <c r="A42">
        <v>12</v>
      </c>
      <c r="B42">
        <v>2013</v>
      </c>
      <c r="C42" s="14">
        <f t="shared" si="18"/>
        <v>188.89000000000001</v>
      </c>
      <c r="D42" s="14">
        <f t="shared" si="16"/>
        <v>55.577923076923106</v>
      </c>
      <c r="E42" s="14">
        <f t="shared" si="10"/>
        <v>244.46792307692311</v>
      </c>
      <c r="F42" s="15">
        <v>279.73285714285714</v>
      </c>
      <c r="G42" s="17">
        <v>54.185384615384649</v>
      </c>
      <c r="H42" s="17">
        <v>333.91824175824178</v>
      </c>
      <c r="I42" s="2">
        <f t="shared" si="13"/>
        <v>89.450318681318663</v>
      </c>
      <c r="J42" s="2">
        <f t="shared" si="19"/>
        <v>-3.3106227106259212E-2</v>
      </c>
      <c r="K42" s="2">
        <f t="shared" si="14"/>
        <v>1.6010322185676817</v>
      </c>
      <c r="L42" s="2">
        <f t="shared" si="11"/>
        <v>0.62459704958006512</v>
      </c>
      <c r="M42" s="2">
        <f t="shared" si="12"/>
        <v>-2.0678051773297082E-2</v>
      </c>
    </row>
    <row r="43" spans="1:14">
      <c r="A43">
        <v>13</v>
      </c>
      <c r="B43">
        <v>2014</v>
      </c>
      <c r="C43" s="14">
        <f t="shared" si="18"/>
        <v>196.69666666666669</v>
      </c>
      <c r="D43" s="14">
        <f t="shared" si="16"/>
        <v>55.551615384615417</v>
      </c>
      <c r="E43" s="14">
        <f t="shared" si="10"/>
        <v>252.2482820512821</v>
      </c>
      <c r="F43" s="15">
        <v>288.68857142857144</v>
      </c>
      <c r="G43" s="17">
        <v>52.976923076923114</v>
      </c>
      <c r="H43" s="17">
        <v>341.66549450549456</v>
      </c>
      <c r="I43" s="2">
        <f t="shared" si="13"/>
        <v>89.417212454212461</v>
      </c>
      <c r="J43" s="2">
        <f t="shared" si="19"/>
        <v>-3.3106227106202368E-2</v>
      </c>
      <c r="K43" s="2">
        <f t="shared" si="14"/>
        <v>1.6650735073103891</v>
      </c>
      <c r="L43" s="2">
        <f t="shared" si="11"/>
        <v>0.600574086134678</v>
      </c>
      <c r="M43" s="2">
        <f t="shared" si="12"/>
        <v>-1.9882742089674593E-2</v>
      </c>
    </row>
    <row r="44" spans="1:14">
      <c r="A44">
        <v>14</v>
      </c>
      <c r="B44">
        <v>2015</v>
      </c>
      <c r="C44" s="14">
        <f t="shared" si="18"/>
        <v>204.50333333333336</v>
      </c>
      <c r="D44" s="14">
        <f t="shared" si="16"/>
        <v>55.525307692307727</v>
      </c>
      <c r="E44" s="14">
        <f t="shared" si="10"/>
        <v>260.02864102564109</v>
      </c>
      <c r="F44" s="15">
        <v>297.64428571428573</v>
      </c>
      <c r="G44" s="17">
        <v>51.76846153846158</v>
      </c>
      <c r="H44" s="17">
        <v>349.41274725274729</v>
      </c>
      <c r="I44" s="2">
        <f t="shared" si="13"/>
        <v>89.384106227106201</v>
      </c>
      <c r="J44" s="2">
        <f t="shared" si="19"/>
        <v>-3.3106227106259212E-2</v>
      </c>
      <c r="K44" s="2">
        <f t="shared" si="14"/>
        <v>1.7316764476028046</v>
      </c>
      <c r="L44" s="2">
        <f t="shared" si="11"/>
        <v>0.57747508282180582</v>
      </c>
      <c r="M44" s="2">
        <f t="shared" si="12"/>
        <v>-1.911802124010455E-2</v>
      </c>
    </row>
    <row r="45" spans="1:14">
      <c r="A45">
        <v>15</v>
      </c>
      <c r="B45">
        <v>2016</v>
      </c>
      <c r="C45" s="31">
        <v>212.31</v>
      </c>
      <c r="D45" s="32">
        <v>55.499000000000002</v>
      </c>
      <c r="E45" s="14">
        <f t="shared" si="10"/>
        <v>267.80900000000003</v>
      </c>
      <c r="F45" s="29">
        <v>306.60000000000002</v>
      </c>
      <c r="G45" s="30">
        <v>50.56</v>
      </c>
      <c r="H45" s="17">
        <v>357.16</v>
      </c>
      <c r="I45" s="2">
        <f t="shared" si="13"/>
        <v>89.350999999999999</v>
      </c>
      <c r="J45" s="2">
        <f t="shared" si="19"/>
        <v>-3.3106227106202368E-2</v>
      </c>
      <c r="K45" s="2">
        <f t="shared" si="14"/>
        <v>1.8009435055069167</v>
      </c>
      <c r="L45" s="2">
        <f t="shared" si="11"/>
        <v>0.55526450271327477</v>
      </c>
      <c r="M45" s="2">
        <f t="shared" si="12"/>
        <v>-1.8382712730838198E-2</v>
      </c>
    </row>
    <row r="46" spans="1:14">
      <c r="A46">
        <v>16</v>
      </c>
      <c r="B46">
        <v>2017</v>
      </c>
      <c r="C46" s="31">
        <v>197.87</v>
      </c>
      <c r="D46" s="5">
        <f>D45+($D$22-$D$18)/4</f>
        <v>56.539250000000003</v>
      </c>
      <c r="E46" s="14">
        <f t="shared" si="10"/>
        <v>254.40925000000001</v>
      </c>
      <c r="F46" s="15">
        <v>310.32749999999999</v>
      </c>
      <c r="G46" s="17">
        <v>55.617500000000007</v>
      </c>
      <c r="H46" s="17">
        <v>365.94499999999999</v>
      </c>
      <c r="I46" s="2">
        <f t="shared" si="13"/>
        <v>111.53574999999998</v>
      </c>
      <c r="J46" s="2">
        <f t="shared" si="19"/>
        <v>22.18474999999998</v>
      </c>
      <c r="K46" s="2">
        <f t="shared" si="14"/>
        <v>1.8729812457271937</v>
      </c>
      <c r="L46" s="2">
        <f t="shared" si="11"/>
        <v>0.53390817568584104</v>
      </c>
      <c r="M46" s="2">
        <f t="shared" si="12"/>
        <v>11.844619400546453</v>
      </c>
    </row>
    <row r="47" spans="1:14">
      <c r="A47">
        <v>17</v>
      </c>
      <c r="B47">
        <v>2018</v>
      </c>
      <c r="C47" s="14">
        <f>C46+($C$22-$C$19)/3</f>
        <v>204.36333333333334</v>
      </c>
      <c r="D47" s="5">
        <f t="shared" ref="D47:D48" si="20">D46+($D$22-$D$18)/4</f>
        <v>57.579500000000003</v>
      </c>
      <c r="E47" s="14">
        <f t="shared" si="10"/>
        <v>261.94283333333334</v>
      </c>
      <c r="F47" s="15">
        <v>314.05499999999995</v>
      </c>
      <c r="G47" s="17">
        <v>60.675000000000011</v>
      </c>
      <c r="H47" s="17">
        <v>374.72999999999996</v>
      </c>
      <c r="I47" s="2">
        <f t="shared" si="13"/>
        <v>112.78716666666662</v>
      </c>
      <c r="J47" s="2">
        <f t="shared" si="19"/>
        <v>1.2514166666666426</v>
      </c>
      <c r="K47" s="2">
        <f t="shared" si="14"/>
        <v>1.9479004955562815</v>
      </c>
      <c r="L47" s="2">
        <f t="shared" si="11"/>
        <v>0.51337324585177024</v>
      </c>
      <c r="M47" s="2">
        <f t="shared" si="12"/>
        <v>0.64244383607965716</v>
      </c>
    </row>
    <row r="48" spans="1:14">
      <c r="A48">
        <v>18</v>
      </c>
      <c r="B48">
        <v>2019</v>
      </c>
      <c r="C48" s="14">
        <f>C47+($C$22-$C$19)/3</f>
        <v>210.85666666666668</v>
      </c>
      <c r="D48" s="5">
        <f t="shared" si="20"/>
        <v>58.619750000000003</v>
      </c>
      <c r="E48" s="14">
        <f t="shared" si="10"/>
        <v>269.47641666666669</v>
      </c>
      <c r="F48" s="15">
        <v>317.78249999999991</v>
      </c>
      <c r="G48" s="17">
        <v>65.732500000000016</v>
      </c>
      <c r="H48" s="17">
        <v>383.51499999999993</v>
      </c>
      <c r="I48" s="2">
        <f t="shared" si="13"/>
        <v>114.03858333333324</v>
      </c>
      <c r="J48" s="2">
        <f>I48-I47</f>
        <v>1.2514166666666142</v>
      </c>
      <c r="K48" s="2">
        <f t="shared" si="14"/>
        <v>2.025816515378533</v>
      </c>
      <c r="L48" s="2">
        <f t="shared" si="11"/>
        <v>0.49362812101131748</v>
      </c>
      <c r="M48" s="2">
        <f t="shared" si="12"/>
        <v>0.61773445776888702</v>
      </c>
    </row>
    <row r="49" spans="1:14">
      <c r="A49">
        <v>19</v>
      </c>
      <c r="B49">
        <v>2020</v>
      </c>
      <c r="C49" s="14" t="s">
        <v>20</v>
      </c>
      <c r="D49" s="5"/>
      <c r="E49" s="14">
        <v>254.69</v>
      </c>
      <c r="F49" s="29">
        <v>321.51</v>
      </c>
      <c r="G49" s="30">
        <v>70.790000000000006</v>
      </c>
      <c r="H49" s="17">
        <v>392.3</v>
      </c>
      <c r="I49" s="2">
        <f t="shared" si="13"/>
        <v>137.61000000000001</v>
      </c>
      <c r="J49" s="2">
        <f t="shared" ref="J49" si="21">I49-I48</f>
        <v>23.571416666666778</v>
      </c>
      <c r="K49" s="2">
        <f t="shared" si="14"/>
        <v>2.1068491759936743</v>
      </c>
      <c r="L49" s="2">
        <f t="shared" si="11"/>
        <v>0.47464242404934376</v>
      </c>
      <c r="M49" s="2">
        <f t="shared" si="12"/>
        <v>11.187994344943821</v>
      </c>
    </row>
    <row r="50" spans="1:14">
      <c r="J50" s="7">
        <f>SUM(J30:J49)</f>
        <v>137.61000000000001</v>
      </c>
      <c r="M50" s="7">
        <f>SUM(M30:M49)</f>
        <v>106.35931333683743</v>
      </c>
      <c r="N50" s="1"/>
    </row>
    <row r="51" spans="1:14">
      <c r="J51" s="32">
        <f>J50-J30</f>
        <v>116.24999999999994</v>
      </c>
      <c r="M51" s="32">
        <f>M50-M30</f>
        <v>84.999313336837361</v>
      </c>
    </row>
    <row r="52" spans="1:14" ht="28.3">
      <c r="J52" s="34" t="s">
        <v>21</v>
      </c>
      <c r="K52" s="35"/>
      <c r="L52" s="35"/>
      <c r="M52" s="34" t="s">
        <v>22</v>
      </c>
    </row>
  </sheetData>
  <mergeCells count="1">
    <mergeCell ref="A26:C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topLeftCell="A16" workbookViewId="0">
      <selection activeCell="K25" sqref="K25:N25"/>
    </sheetView>
  </sheetViews>
  <sheetFormatPr defaultRowHeight="14.15"/>
  <cols>
    <col min="1" max="1" width="3.42578125" bestFit="1" customWidth="1"/>
    <col min="2" max="2" width="5.42578125" bestFit="1" customWidth="1"/>
    <col min="3" max="3" width="18.28515625" style="2" bestFit="1" customWidth="1"/>
    <col min="4" max="4" width="13.7109375" style="2" bestFit="1" customWidth="1"/>
    <col min="5" max="5" width="14.7109375" bestFit="1" customWidth="1"/>
    <col min="6" max="6" width="22.42578125" style="2" customWidth="1"/>
    <col min="7" max="7" width="22.85546875" bestFit="1" customWidth="1"/>
    <col min="8" max="9" width="22.85546875" customWidth="1"/>
    <col min="10" max="10" width="14.85546875" bestFit="1" customWidth="1"/>
    <col min="11" max="11" width="15.85546875" bestFit="1" customWidth="1"/>
    <col min="12" max="12" width="19.28515625" bestFit="1" customWidth="1"/>
    <col min="13" max="13" width="12.7109375" bestFit="1" customWidth="1"/>
    <col min="14" max="14" width="30.140625" style="2" bestFit="1" customWidth="1"/>
    <col min="15" max="15" width="12.7109375" bestFit="1" customWidth="1"/>
  </cols>
  <sheetData>
    <row r="1" spans="1:15">
      <c r="C1" s="2" t="s">
        <v>11</v>
      </c>
      <c r="D1" s="2" t="s">
        <v>8</v>
      </c>
      <c r="E1" t="s">
        <v>6</v>
      </c>
      <c r="F1" s="3" t="s">
        <v>10</v>
      </c>
      <c r="G1" s="15" t="s">
        <v>1</v>
      </c>
      <c r="H1" s="15" t="s">
        <v>14</v>
      </c>
      <c r="I1" s="15" t="s">
        <v>15</v>
      </c>
      <c r="J1" t="s">
        <v>2</v>
      </c>
      <c r="K1" t="s">
        <v>3</v>
      </c>
      <c r="L1" t="s">
        <v>4</v>
      </c>
      <c r="N1" s="2" t="s">
        <v>5</v>
      </c>
    </row>
    <row r="2" spans="1:15">
      <c r="C2" s="7">
        <v>39</v>
      </c>
      <c r="D2" s="7">
        <v>39</v>
      </c>
      <c r="E2" s="7">
        <v>39</v>
      </c>
      <c r="F2" s="3"/>
      <c r="G2" s="16">
        <v>51</v>
      </c>
      <c r="H2" s="16">
        <v>51</v>
      </c>
      <c r="I2" s="16">
        <v>51</v>
      </c>
    </row>
    <row r="3" spans="1:15">
      <c r="A3">
        <v>0</v>
      </c>
      <c r="B3">
        <v>2001</v>
      </c>
      <c r="C3" s="31">
        <v>223.62</v>
      </c>
      <c r="D3" s="32">
        <v>57.26</v>
      </c>
      <c r="E3" s="20">
        <v>0</v>
      </c>
      <c r="F3" s="10">
        <f>SUM(C3:E3)</f>
        <v>280.88</v>
      </c>
      <c r="G3" s="29">
        <v>221.77</v>
      </c>
      <c r="H3" s="30">
        <v>58.63</v>
      </c>
      <c r="I3" s="17">
        <v>280.40000000000003</v>
      </c>
      <c r="J3" s="11">
        <f>I3-F3</f>
        <v>-0.47999999999996135</v>
      </c>
      <c r="K3">
        <f>J3</f>
        <v>-0.47999999999996135</v>
      </c>
      <c r="L3">
        <f>(1+0.004)^A3</f>
        <v>1</v>
      </c>
      <c r="M3">
        <f>1/L3</f>
        <v>1</v>
      </c>
      <c r="N3" s="2">
        <f>K3/L3</f>
        <v>-0.47999999999996135</v>
      </c>
    </row>
    <row r="4" spans="1:15">
      <c r="A4">
        <v>1</v>
      </c>
      <c r="B4">
        <v>2002</v>
      </c>
      <c r="C4" s="31">
        <v>192.26</v>
      </c>
      <c r="D4" s="5">
        <f>D3+(D5-D3)/2</f>
        <v>60.53</v>
      </c>
      <c r="E4" s="20">
        <v>6.45</v>
      </c>
      <c r="F4" s="3">
        <f t="shared" ref="F4:F22" si="0">SUM(C4:E4)</f>
        <v>259.24</v>
      </c>
      <c r="G4" s="15">
        <v>223.98000000000002</v>
      </c>
      <c r="H4" s="17">
        <v>62.45</v>
      </c>
      <c r="I4" s="17">
        <v>286.43</v>
      </c>
      <c r="J4" s="11">
        <f t="shared" ref="J4:J22" si="1">I4-F4</f>
        <v>27.189999999999998</v>
      </c>
      <c r="K4">
        <f>J4-J3</f>
        <v>27.669999999999959</v>
      </c>
      <c r="L4">
        <f t="shared" ref="L4:L22" si="2">(1+0.04)^A4</f>
        <v>1.04</v>
      </c>
      <c r="M4">
        <f t="shared" ref="M4:M22" si="3">1/L4</f>
        <v>0.96153846153846145</v>
      </c>
      <c r="N4" s="6">
        <f t="shared" ref="N4:N22" si="4">K4/L4</f>
        <v>26.605769230769191</v>
      </c>
    </row>
    <row r="5" spans="1:15">
      <c r="A5">
        <v>2</v>
      </c>
      <c r="B5">
        <v>2003</v>
      </c>
      <c r="C5" s="31">
        <v>191.26</v>
      </c>
      <c r="D5" s="32">
        <v>63.8</v>
      </c>
      <c r="E5" s="20">
        <v>6.45</v>
      </c>
      <c r="F5" s="3">
        <f t="shared" si="0"/>
        <v>261.51</v>
      </c>
      <c r="G5" s="29">
        <v>226.19</v>
      </c>
      <c r="H5" s="30">
        <v>66.27</v>
      </c>
      <c r="I5" s="17">
        <v>292.45999999999998</v>
      </c>
      <c r="J5" s="11">
        <f t="shared" si="1"/>
        <v>30.949999999999989</v>
      </c>
      <c r="K5">
        <f t="shared" ref="K5:K22" si="5">J5-J4</f>
        <v>3.7599999999999909</v>
      </c>
      <c r="L5">
        <f t="shared" si="2"/>
        <v>1.0816000000000001</v>
      </c>
      <c r="M5">
        <f t="shared" si="3"/>
        <v>0.92455621301775137</v>
      </c>
      <c r="N5" s="2">
        <f t="shared" si="4"/>
        <v>3.4763313609467366</v>
      </c>
    </row>
    <row r="6" spans="1:15">
      <c r="A6">
        <v>3</v>
      </c>
      <c r="B6">
        <v>2004</v>
      </c>
      <c r="C6" s="14">
        <f>C5+($C$11-$C$5)/6</f>
        <v>195.03666666666666</v>
      </c>
      <c r="D6" s="14">
        <f>D5+($D$18-$D$5)/13</f>
        <v>62.980769230769226</v>
      </c>
      <c r="E6" s="20">
        <v>6.45</v>
      </c>
      <c r="F6" s="3">
        <f t="shared" si="0"/>
        <v>264.46743589743591</v>
      </c>
      <c r="G6" s="15">
        <v>229.14333333333332</v>
      </c>
      <c r="H6" s="17">
        <v>65.061538461538461</v>
      </c>
      <c r="I6" s="17">
        <v>294.20487179487179</v>
      </c>
      <c r="J6" s="11">
        <f t="shared" si="1"/>
        <v>29.737435897435887</v>
      </c>
      <c r="K6">
        <f t="shared" si="5"/>
        <v>-1.2125641025641016</v>
      </c>
      <c r="L6">
        <f t="shared" si="2"/>
        <v>1.1248640000000001</v>
      </c>
      <c r="M6">
        <f t="shared" si="3"/>
        <v>0.88899635867091487</v>
      </c>
      <c r="N6" s="2">
        <f t="shared" si="4"/>
        <v>-1.0779650718345519</v>
      </c>
    </row>
    <row r="7" spans="1:15">
      <c r="A7">
        <v>4</v>
      </c>
      <c r="B7">
        <v>2005</v>
      </c>
      <c r="C7" s="14">
        <f t="shared" ref="C7:C10" si="6">C6+($C$11-$C$5)/6</f>
        <v>198.81333333333333</v>
      </c>
      <c r="D7" s="14">
        <f t="shared" ref="D7:D17" si="7">D6+($D$18-$D$5)/13</f>
        <v>62.161538461538456</v>
      </c>
      <c r="E7" s="20">
        <v>6.45</v>
      </c>
      <c r="F7" s="3">
        <f t="shared" si="0"/>
        <v>267.42487179487176</v>
      </c>
      <c r="G7" s="15">
        <v>232.09666666666664</v>
      </c>
      <c r="H7" s="17">
        <v>63.853076923076927</v>
      </c>
      <c r="I7" s="17">
        <v>295.94974358974355</v>
      </c>
      <c r="J7" s="11">
        <f t="shared" si="1"/>
        <v>28.524871794871785</v>
      </c>
      <c r="K7">
        <f t="shared" si="5"/>
        <v>-1.2125641025641016</v>
      </c>
      <c r="L7">
        <f t="shared" si="2"/>
        <v>1.1698585600000002</v>
      </c>
      <c r="M7">
        <f t="shared" si="3"/>
        <v>0.85480419102972571</v>
      </c>
      <c r="N7" s="2">
        <f t="shared" si="4"/>
        <v>-1.0365048767639922</v>
      </c>
    </row>
    <row r="8" spans="1:15">
      <c r="A8">
        <v>5</v>
      </c>
      <c r="B8">
        <v>2006</v>
      </c>
      <c r="C8" s="14">
        <f t="shared" si="6"/>
        <v>202.59</v>
      </c>
      <c r="D8" s="14">
        <f t="shared" si="7"/>
        <v>61.342307692307685</v>
      </c>
      <c r="E8" s="20">
        <v>6.45</v>
      </c>
      <c r="F8" s="3">
        <f t="shared" si="0"/>
        <v>270.38230769230768</v>
      </c>
      <c r="G8" s="15">
        <v>235.04999999999995</v>
      </c>
      <c r="H8" s="17">
        <v>62.644615384615392</v>
      </c>
      <c r="I8" s="17">
        <v>297.69461538461536</v>
      </c>
      <c r="J8" s="11">
        <f t="shared" si="1"/>
        <v>27.312307692307684</v>
      </c>
      <c r="K8">
        <f t="shared" si="5"/>
        <v>-1.2125641025641016</v>
      </c>
      <c r="L8">
        <f t="shared" si="2"/>
        <v>1.2166529024000003</v>
      </c>
      <c r="M8">
        <f t="shared" si="3"/>
        <v>0.82192710675935154</v>
      </c>
      <c r="N8" s="2">
        <f t="shared" si="4"/>
        <v>-0.99663930458076166</v>
      </c>
    </row>
    <row r="9" spans="1:15">
      <c r="A9">
        <v>6</v>
      </c>
      <c r="B9">
        <v>2007</v>
      </c>
      <c r="C9" s="14">
        <f t="shared" si="6"/>
        <v>206.36666666666667</v>
      </c>
      <c r="D9" s="14">
        <f t="shared" si="7"/>
        <v>60.523076923076914</v>
      </c>
      <c r="E9" s="20">
        <v>6.45</v>
      </c>
      <c r="F9" s="3">
        <f t="shared" si="0"/>
        <v>273.33974358974359</v>
      </c>
      <c r="G9" s="15">
        <v>238.00333333333327</v>
      </c>
      <c r="H9" s="17">
        <v>61.436153846153857</v>
      </c>
      <c r="I9" s="17">
        <v>299.43948717948712</v>
      </c>
      <c r="J9" s="11">
        <f t="shared" si="1"/>
        <v>26.099743589743525</v>
      </c>
      <c r="K9">
        <f t="shared" si="5"/>
        <v>-1.2125641025641585</v>
      </c>
      <c r="L9">
        <f t="shared" si="2"/>
        <v>1.2653190184960004</v>
      </c>
      <c r="M9">
        <f t="shared" si="3"/>
        <v>0.79031452573014571</v>
      </c>
      <c r="N9" s="2">
        <f t="shared" si="4"/>
        <v>-0.95830702363539266</v>
      </c>
    </row>
    <row r="10" spans="1:15">
      <c r="A10">
        <v>7</v>
      </c>
      <c r="B10">
        <v>2008</v>
      </c>
      <c r="C10" s="14">
        <f t="shared" si="6"/>
        <v>210.14333333333335</v>
      </c>
      <c r="D10" s="14">
        <f t="shared" si="7"/>
        <v>59.703846153846143</v>
      </c>
      <c r="E10" s="20">
        <v>6.45</v>
      </c>
      <c r="F10" s="3">
        <f t="shared" si="0"/>
        <v>276.29717948717945</v>
      </c>
      <c r="G10" s="15">
        <v>240.95666666666659</v>
      </c>
      <c r="H10" s="17">
        <v>60.227692307692323</v>
      </c>
      <c r="I10" s="17">
        <v>301.18435897435893</v>
      </c>
      <c r="J10" s="11">
        <f t="shared" si="1"/>
        <v>24.88717948717948</v>
      </c>
      <c r="K10">
        <f t="shared" si="5"/>
        <v>-1.2125641025640448</v>
      </c>
      <c r="L10">
        <f t="shared" si="2"/>
        <v>1.3159317792358403</v>
      </c>
      <c r="M10">
        <f t="shared" si="3"/>
        <v>0.75991781320206331</v>
      </c>
      <c r="N10" s="2">
        <f t="shared" si="4"/>
        <v>-0.92144906118779124</v>
      </c>
    </row>
    <row r="11" spans="1:15">
      <c r="A11">
        <v>8</v>
      </c>
      <c r="B11">
        <v>2009</v>
      </c>
      <c r="C11" s="31">
        <v>213.92</v>
      </c>
      <c r="D11" s="14">
        <f t="shared" si="7"/>
        <v>58.884615384615373</v>
      </c>
      <c r="E11" s="20">
        <v>6.45</v>
      </c>
      <c r="F11" s="3">
        <f t="shared" si="0"/>
        <v>279.25461538461536</v>
      </c>
      <c r="G11" s="29">
        <v>243.91</v>
      </c>
      <c r="H11" s="17">
        <v>59.019230769230788</v>
      </c>
      <c r="I11" s="17">
        <v>302.9292307692308</v>
      </c>
      <c r="J11" s="11">
        <f t="shared" si="1"/>
        <v>23.674615384615436</v>
      </c>
      <c r="K11">
        <f t="shared" si="5"/>
        <v>-1.2125641025640448</v>
      </c>
      <c r="L11">
        <f t="shared" si="2"/>
        <v>1.3685690504052741</v>
      </c>
      <c r="M11">
        <f t="shared" si="3"/>
        <v>0.73069020500198378</v>
      </c>
      <c r="N11" s="2">
        <f t="shared" si="4"/>
        <v>-0.88600871268056836</v>
      </c>
      <c r="O11" s="1"/>
    </row>
    <row r="12" spans="1:15">
      <c r="A12">
        <v>9</v>
      </c>
      <c r="B12">
        <v>2010</v>
      </c>
      <c r="C12" s="14">
        <f>C11+($C$18-$C$11)/7</f>
        <v>219.26428571428571</v>
      </c>
      <c r="D12" s="14">
        <f t="shared" si="7"/>
        <v>58.065384615384602</v>
      </c>
      <c r="E12" s="20">
        <v>6.45</v>
      </c>
      <c r="F12" s="3">
        <f t="shared" si="0"/>
        <v>283.7796703296703</v>
      </c>
      <c r="G12" s="15">
        <v>252.86571428571429</v>
      </c>
      <c r="H12" s="17">
        <v>57.810769230769253</v>
      </c>
      <c r="I12" s="17">
        <v>310.67648351648353</v>
      </c>
      <c r="J12" s="11">
        <f t="shared" si="1"/>
        <v>26.896813186813233</v>
      </c>
      <c r="K12">
        <f t="shared" si="5"/>
        <v>3.2221978021977975</v>
      </c>
      <c r="L12">
        <f t="shared" si="2"/>
        <v>1.4233118124214852</v>
      </c>
      <c r="M12">
        <f t="shared" si="3"/>
        <v>0.70258673557883045</v>
      </c>
      <c r="N12" s="2">
        <f t="shared" si="4"/>
        <v>2.2638734352354328</v>
      </c>
    </row>
    <row r="13" spans="1:15">
      <c r="A13">
        <v>10</v>
      </c>
      <c r="B13">
        <v>2011</v>
      </c>
      <c r="C13" s="14">
        <f t="shared" ref="C13:C17" si="8">C12+($C$18-$C$11)/7</f>
        <v>224.60857142857142</v>
      </c>
      <c r="D13" s="14">
        <f t="shared" si="7"/>
        <v>57.246153846153831</v>
      </c>
      <c r="E13" s="20">
        <v>6.45</v>
      </c>
      <c r="F13" s="3">
        <f t="shared" si="0"/>
        <v>288.30472527472523</v>
      </c>
      <c r="G13" s="15">
        <v>261.82142857142856</v>
      </c>
      <c r="H13" s="17">
        <v>56.602307692307718</v>
      </c>
      <c r="I13" s="17">
        <v>318.42373626373626</v>
      </c>
      <c r="J13" s="11">
        <f t="shared" si="1"/>
        <v>30.119010989011031</v>
      </c>
      <c r="K13">
        <f t="shared" si="5"/>
        <v>3.2221978021977975</v>
      </c>
      <c r="L13">
        <f t="shared" si="2"/>
        <v>1.4802442849183446</v>
      </c>
      <c r="M13">
        <f t="shared" si="3"/>
        <v>0.67556416882579851</v>
      </c>
      <c r="N13" s="2">
        <f t="shared" si="4"/>
        <v>2.1768013800340698</v>
      </c>
    </row>
    <row r="14" spans="1:15">
      <c r="A14">
        <v>11</v>
      </c>
      <c r="B14">
        <v>2012</v>
      </c>
      <c r="C14" s="14">
        <f t="shared" si="8"/>
        <v>229.95285714285714</v>
      </c>
      <c r="D14" s="14">
        <f t="shared" si="7"/>
        <v>56.42692307692306</v>
      </c>
      <c r="E14" s="20">
        <v>6.45</v>
      </c>
      <c r="F14" s="3">
        <f t="shared" si="0"/>
        <v>292.82978021978016</v>
      </c>
      <c r="G14" s="15">
        <v>270.77714285714285</v>
      </c>
      <c r="H14" s="17">
        <v>55.393846153846184</v>
      </c>
      <c r="I14" s="17">
        <v>326.17098901098905</v>
      </c>
      <c r="J14" s="11">
        <f t="shared" si="1"/>
        <v>33.341208791208885</v>
      </c>
      <c r="K14">
        <f t="shared" si="5"/>
        <v>3.2221978021978543</v>
      </c>
      <c r="L14">
        <f t="shared" si="2"/>
        <v>1.5394540563150783</v>
      </c>
      <c r="M14">
        <f t="shared" si="3"/>
        <v>0.6495809315632679</v>
      </c>
      <c r="N14" s="2">
        <f t="shared" si="4"/>
        <v>2.0930782500327965</v>
      </c>
    </row>
    <row r="15" spans="1:15">
      <c r="A15">
        <v>12</v>
      </c>
      <c r="B15">
        <v>2013</v>
      </c>
      <c r="C15" s="14">
        <f t="shared" si="8"/>
        <v>235.29714285714286</v>
      </c>
      <c r="D15" s="14">
        <f t="shared" si="7"/>
        <v>55.60769230769229</v>
      </c>
      <c r="E15" s="20">
        <v>6.45</v>
      </c>
      <c r="F15" s="3">
        <f t="shared" si="0"/>
        <v>297.35483516483515</v>
      </c>
      <c r="G15" s="15">
        <v>279.73285714285714</v>
      </c>
      <c r="H15" s="17">
        <v>54.185384615384649</v>
      </c>
      <c r="I15" s="17">
        <v>333.91824175824178</v>
      </c>
      <c r="J15" s="11">
        <f t="shared" si="1"/>
        <v>36.563406593406626</v>
      </c>
      <c r="K15">
        <f t="shared" si="5"/>
        <v>3.2221978021977407</v>
      </c>
      <c r="L15">
        <f t="shared" si="2"/>
        <v>1.6010322185676817</v>
      </c>
      <c r="M15">
        <f t="shared" si="3"/>
        <v>0.62459704958006512</v>
      </c>
      <c r="N15" s="2">
        <f t="shared" si="4"/>
        <v>2.012575240416079</v>
      </c>
    </row>
    <row r="16" spans="1:15">
      <c r="A16">
        <v>13</v>
      </c>
      <c r="B16">
        <v>2014</v>
      </c>
      <c r="C16" s="14">
        <f t="shared" si="8"/>
        <v>240.64142857142858</v>
      </c>
      <c r="D16" s="14">
        <f t="shared" si="7"/>
        <v>54.788461538461519</v>
      </c>
      <c r="E16" s="20">
        <v>6.45</v>
      </c>
      <c r="F16" s="3">
        <f t="shared" si="0"/>
        <v>301.87989010989008</v>
      </c>
      <c r="G16" s="15">
        <v>288.68857142857144</v>
      </c>
      <c r="H16" s="17">
        <v>52.976923076923114</v>
      </c>
      <c r="I16" s="17">
        <v>341.66549450549456</v>
      </c>
      <c r="J16" s="11">
        <f t="shared" si="1"/>
        <v>39.78560439560448</v>
      </c>
      <c r="K16">
        <f t="shared" si="5"/>
        <v>3.2221978021978543</v>
      </c>
      <c r="L16">
        <f t="shared" si="2"/>
        <v>1.6650735073103891</v>
      </c>
      <c r="M16">
        <f t="shared" si="3"/>
        <v>0.600574086134678</v>
      </c>
      <c r="N16" s="2">
        <f t="shared" si="4"/>
        <v>1.9351685004001444</v>
      </c>
    </row>
    <row r="17" spans="1:14">
      <c r="A17">
        <v>14</v>
      </c>
      <c r="B17">
        <v>2015</v>
      </c>
      <c r="C17" s="14">
        <f t="shared" si="8"/>
        <v>245.98571428571429</v>
      </c>
      <c r="D17" s="14">
        <f t="shared" si="7"/>
        <v>53.969230769230748</v>
      </c>
      <c r="E17" s="20">
        <v>6.45</v>
      </c>
      <c r="F17" s="3">
        <f t="shared" si="0"/>
        <v>306.40494505494502</v>
      </c>
      <c r="G17" s="15">
        <v>297.64428571428573</v>
      </c>
      <c r="H17" s="17">
        <v>51.76846153846158</v>
      </c>
      <c r="I17" s="17">
        <v>349.41274725274729</v>
      </c>
      <c r="J17" s="11">
        <f t="shared" si="1"/>
        <v>43.007802197802278</v>
      </c>
      <c r="K17">
        <f t="shared" si="5"/>
        <v>3.2221978021977975</v>
      </c>
      <c r="L17">
        <f t="shared" si="2"/>
        <v>1.7316764476028046</v>
      </c>
      <c r="M17">
        <f t="shared" si="3"/>
        <v>0.57747508282180582</v>
      </c>
      <c r="N17" s="2">
        <f t="shared" si="4"/>
        <v>1.8607389426924137</v>
      </c>
    </row>
    <row r="18" spans="1:14">
      <c r="A18">
        <v>15</v>
      </c>
      <c r="B18">
        <v>2016</v>
      </c>
      <c r="C18" s="31">
        <v>251.33</v>
      </c>
      <c r="D18" s="32">
        <v>53.15</v>
      </c>
      <c r="E18" s="20">
        <v>6.45</v>
      </c>
      <c r="F18" s="3">
        <f t="shared" si="0"/>
        <v>310.93</v>
      </c>
      <c r="G18" s="29">
        <v>306.60000000000002</v>
      </c>
      <c r="H18" s="30">
        <v>50.56</v>
      </c>
      <c r="I18" s="17">
        <v>357.16</v>
      </c>
      <c r="J18" s="11">
        <f t="shared" si="1"/>
        <v>46.230000000000018</v>
      </c>
      <c r="K18">
        <f t="shared" si="5"/>
        <v>3.2221978021977407</v>
      </c>
      <c r="L18">
        <f t="shared" si="2"/>
        <v>1.8009435055069167</v>
      </c>
      <c r="M18">
        <f t="shared" si="3"/>
        <v>0.55526450271327477</v>
      </c>
      <c r="N18" s="2">
        <f t="shared" si="4"/>
        <v>1.7891720602811354</v>
      </c>
    </row>
    <row r="19" spans="1:14">
      <c r="A19">
        <v>16</v>
      </c>
      <c r="B19">
        <v>2017</v>
      </c>
      <c r="C19" s="31">
        <v>244.53</v>
      </c>
      <c r="D19" s="5">
        <f>D18+($D$22-$D$18)/4</f>
        <v>53.48</v>
      </c>
      <c r="E19" s="20">
        <v>6.45</v>
      </c>
      <c r="F19" s="3">
        <f t="shared" si="0"/>
        <v>304.45999999999998</v>
      </c>
      <c r="G19" s="15">
        <v>310.32749999999999</v>
      </c>
      <c r="H19" s="17">
        <v>55.617500000000007</v>
      </c>
      <c r="I19" s="17">
        <v>365.94499999999999</v>
      </c>
      <c r="J19" s="11">
        <f t="shared" si="1"/>
        <v>61.485000000000014</v>
      </c>
      <c r="K19">
        <f t="shared" si="5"/>
        <v>15.254999999999995</v>
      </c>
      <c r="L19">
        <f t="shared" si="2"/>
        <v>1.8729812457271937</v>
      </c>
      <c r="M19">
        <f t="shared" si="3"/>
        <v>0.53390817568584104</v>
      </c>
      <c r="N19" s="2">
        <f t="shared" si="4"/>
        <v>8.1447692200875039</v>
      </c>
    </row>
    <row r="20" spans="1:14">
      <c r="A20">
        <v>17</v>
      </c>
      <c r="B20">
        <v>2018</v>
      </c>
      <c r="C20" s="14">
        <f>C19+($C$22-$C$19)/3</f>
        <v>239.34</v>
      </c>
      <c r="D20" s="5">
        <f t="shared" ref="D20:D21" si="9">D19+($D$22-$D$18)/4</f>
        <v>53.809999999999995</v>
      </c>
      <c r="E20" s="20">
        <f>6.45+9.16</f>
        <v>15.61</v>
      </c>
      <c r="F20" s="3">
        <f t="shared" si="0"/>
        <v>308.76</v>
      </c>
      <c r="G20" s="15">
        <v>314.05499999999995</v>
      </c>
      <c r="H20" s="17">
        <v>60.675000000000011</v>
      </c>
      <c r="I20" s="17">
        <v>374.72999999999996</v>
      </c>
      <c r="J20" s="11">
        <f t="shared" si="1"/>
        <v>65.96999999999997</v>
      </c>
      <c r="K20">
        <f t="shared" si="5"/>
        <v>4.4849999999999568</v>
      </c>
      <c r="L20">
        <f t="shared" si="2"/>
        <v>1.9479004955562815</v>
      </c>
      <c r="M20">
        <f t="shared" si="3"/>
        <v>0.51337324585177024</v>
      </c>
      <c r="N20" s="2">
        <f t="shared" si="4"/>
        <v>2.3024790076451676</v>
      </c>
    </row>
    <row r="21" spans="1:14">
      <c r="A21">
        <v>18</v>
      </c>
      <c r="B21">
        <v>2019</v>
      </c>
      <c r="C21" s="14">
        <f>C20+($C$22-$C$19)/3</f>
        <v>234.15</v>
      </c>
      <c r="D21" s="5">
        <f t="shared" si="9"/>
        <v>54.139999999999993</v>
      </c>
      <c r="E21" s="20">
        <f t="shared" ref="E21:E22" si="10">6.45+9.16</f>
        <v>15.61</v>
      </c>
      <c r="F21" s="3">
        <f t="shared" si="0"/>
        <v>303.90000000000003</v>
      </c>
      <c r="G21" s="15">
        <v>317.78249999999991</v>
      </c>
      <c r="H21" s="17">
        <v>65.732500000000016</v>
      </c>
      <c r="I21" s="17">
        <v>383.51499999999993</v>
      </c>
      <c r="J21" s="11">
        <f t="shared" si="1"/>
        <v>79.614999999999895</v>
      </c>
      <c r="K21">
        <f t="shared" si="5"/>
        <v>13.644999999999925</v>
      </c>
      <c r="L21">
        <f t="shared" si="2"/>
        <v>2.025816515378533</v>
      </c>
      <c r="M21">
        <f t="shared" si="3"/>
        <v>0.49362812101131748</v>
      </c>
      <c r="N21" s="2">
        <f t="shared" si="4"/>
        <v>6.7355557111993898</v>
      </c>
    </row>
    <row r="22" spans="1:14">
      <c r="A22">
        <v>19</v>
      </c>
      <c r="B22">
        <v>2020</v>
      </c>
      <c r="C22" s="31">
        <v>228.96</v>
      </c>
      <c r="D22" s="32">
        <v>54.47</v>
      </c>
      <c r="E22" s="20">
        <f t="shared" si="10"/>
        <v>15.61</v>
      </c>
      <c r="F22" s="3">
        <f t="shared" si="0"/>
        <v>299.04000000000002</v>
      </c>
      <c r="G22" s="29">
        <v>321.51</v>
      </c>
      <c r="H22" s="30">
        <v>70.790000000000006</v>
      </c>
      <c r="I22" s="17">
        <v>392.3</v>
      </c>
      <c r="J22" s="11">
        <f t="shared" si="1"/>
        <v>93.259999999999991</v>
      </c>
      <c r="K22">
        <f t="shared" si="5"/>
        <v>13.645000000000095</v>
      </c>
      <c r="L22">
        <f t="shared" si="2"/>
        <v>2.1068491759936743</v>
      </c>
      <c r="M22">
        <f t="shared" si="3"/>
        <v>0.47464242404934376</v>
      </c>
      <c r="N22" s="2">
        <f t="shared" si="4"/>
        <v>6.4764958761533409</v>
      </c>
    </row>
    <row r="23" spans="1:14">
      <c r="K23" s="1">
        <f>SUM(K3:K22)</f>
        <v>93.259999999999991</v>
      </c>
      <c r="N23" s="7">
        <f>SUM(N3:N22)</f>
        <v>61.515934165210396</v>
      </c>
    </row>
    <row r="24" spans="1:14">
      <c r="J24" s="2"/>
      <c r="K24" s="32">
        <f>K23-K3</f>
        <v>93.739999999999952</v>
      </c>
      <c r="L24" s="2"/>
      <c r="M24" s="2"/>
      <c r="N24" s="32">
        <f>N23-K3</f>
        <v>61.995934165210357</v>
      </c>
    </row>
    <row r="25" spans="1:14" ht="28.3">
      <c r="J25" s="2"/>
      <c r="K25" s="34" t="s">
        <v>21</v>
      </c>
      <c r="L25" s="35"/>
      <c r="M25" s="35"/>
      <c r="N25" s="34" t="s">
        <v>22</v>
      </c>
    </row>
    <row r="26" spans="1:14">
      <c r="A26" s="36" t="s">
        <v>24</v>
      </c>
      <c r="B26" s="36"/>
      <c r="C26" s="36"/>
      <c r="E26" s="2"/>
      <c r="G26" s="2"/>
      <c r="H26" s="2"/>
      <c r="I26" s="2"/>
      <c r="J26" s="2"/>
      <c r="K26" s="2"/>
      <c r="L26" s="2"/>
      <c r="M26" s="2"/>
      <c r="N26"/>
    </row>
    <row r="27" spans="1:14">
      <c r="C27" s="2" t="s">
        <v>11</v>
      </c>
      <c r="D27" s="2" t="s">
        <v>8</v>
      </c>
      <c r="E27" t="s">
        <v>6</v>
      </c>
      <c r="F27" s="3" t="s">
        <v>10</v>
      </c>
      <c r="G27" s="15" t="s">
        <v>1</v>
      </c>
      <c r="H27" s="15" t="s">
        <v>14</v>
      </c>
      <c r="I27" s="15" t="s">
        <v>15</v>
      </c>
      <c r="J27" t="s">
        <v>2</v>
      </c>
      <c r="K27" t="s">
        <v>3</v>
      </c>
      <c r="L27" t="s">
        <v>4</v>
      </c>
      <c r="N27" s="2" t="s">
        <v>5</v>
      </c>
    </row>
    <row r="28" spans="1:14">
      <c r="C28" s="7">
        <v>39</v>
      </c>
      <c r="D28" s="7">
        <v>39</v>
      </c>
      <c r="E28" s="7">
        <v>39</v>
      </c>
      <c r="F28" s="3"/>
      <c r="G28" s="16">
        <v>51</v>
      </c>
      <c r="H28" s="16">
        <v>51</v>
      </c>
      <c r="I28" s="16">
        <v>51</v>
      </c>
    </row>
    <row r="29" spans="1:14">
      <c r="A29">
        <v>0</v>
      </c>
      <c r="B29">
        <v>2001</v>
      </c>
      <c r="C29" s="31">
        <v>223.62</v>
      </c>
      <c r="D29" s="32">
        <v>57.26</v>
      </c>
      <c r="E29" s="20">
        <v>0</v>
      </c>
      <c r="F29" s="10">
        <f>SUM(C29:E29)</f>
        <v>280.88</v>
      </c>
      <c r="G29" s="29">
        <v>221.77</v>
      </c>
      <c r="H29" s="30">
        <v>58.63</v>
      </c>
      <c r="I29" s="17">
        <v>280.40000000000003</v>
      </c>
      <c r="J29" s="11">
        <f>I29-F29</f>
        <v>-0.47999999999996135</v>
      </c>
      <c r="K29">
        <f>J29</f>
        <v>-0.47999999999996135</v>
      </c>
      <c r="L29">
        <f>(1+0.004)^A29</f>
        <v>1</v>
      </c>
      <c r="M29">
        <f>1/L29</f>
        <v>1</v>
      </c>
      <c r="N29" s="2">
        <f>K29/L29</f>
        <v>-0.47999999999996135</v>
      </c>
    </row>
    <row r="30" spans="1:14">
      <c r="A30">
        <v>1</v>
      </c>
      <c r="B30">
        <v>2002</v>
      </c>
      <c r="C30" s="31">
        <v>192.26</v>
      </c>
      <c r="D30" s="5">
        <v>60.53</v>
      </c>
      <c r="E30" s="20">
        <v>6.45</v>
      </c>
      <c r="F30" s="3">
        <f t="shared" ref="F30:F47" si="11">SUM(C30:E30)</f>
        <v>259.24</v>
      </c>
      <c r="G30" s="15">
        <v>223.98000000000002</v>
      </c>
      <c r="H30" s="17">
        <v>62.45</v>
      </c>
      <c r="I30" s="17">
        <v>286.43</v>
      </c>
      <c r="J30" s="11">
        <f t="shared" ref="J30:J48" si="12">I30-F30</f>
        <v>27.189999999999998</v>
      </c>
      <c r="K30">
        <f>J30-J29</f>
        <v>27.669999999999959</v>
      </c>
      <c r="L30">
        <f t="shared" ref="L30:L48" si="13">(1+0.04)^A30</f>
        <v>1.04</v>
      </c>
      <c r="M30">
        <f t="shared" ref="M30:M48" si="14">1/L30</f>
        <v>0.96153846153846145</v>
      </c>
      <c r="N30" s="6">
        <f t="shared" ref="N30:N48" si="15">K30/L30</f>
        <v>26.605769230769191</v>
      </c>
    </row>
    <row r="31" spans="1:14">
      <c r="A31">
        <v>2</v>
      </c>
      <c r="B31">
        <v>2003</v>
      </c>
      <c r="C31" s="31">
        <v>191.26</v>
      </c>
      <c r="D31" s="32">
        <v>63.8</v>
      </c>
      <c r="E31" s="20">
        <v>6.45</v>
      </c>
      <c r="F31" s="3">
        <f t="shared" si="11"/>
        <v>261.51</v>
      </c>
      <c r="G31" s="29">
        <v>226.19</v>
      </c>
      <c r="H31" s="30">
        <v>66.27</v>
      </c>
      <c r="I31" s="17">
        <v>292.45999999999998</v>
      </c>
      <c r="J31" s="11">
        <f t="shared" si="12"/>
        <v>30.949999999999989</v>
      </c>
      <c r="K31">
        <f t="shared" ref="K31:K48" si="16">J31-J30</f>
        <v>3.7599999999999909</v>
      </c>
      <c r="L31">
        <f t="shared" si="13"/>
        <v>1.0816000000000001</v>
      </c>
      <c r="M31">
        <f t="shared" si="14"/>
        <v>0.92455621301775137</v>
      </c>
      <c r="N31" s="2">
        <f t="shared" si="15"/>
        <v>3.4763313609467366</v>
      </c>
    </row>
    <row r="32" spans="1:14">
      <c r="A32">
        <v>3</v>
      </c>
      <c r="B32">
        <v>2004</v>
      </c>
      <c r="C32" s="14">
        <v>195.03666666666666</v>
      </c>
      <c r="D32" s="14">
        <v>62.980769230769226</v>
      </c>
      <c r="E32" s="20">
        <v>6.45</v>
      </c>
      <c r="F32" s="3">
        <f t="shared" si="11"/>
        <v>264.46743589743591</v>
      </c>
      <c r="G32" s="15">
        <v>229.14333333333332</v>
      </c>
      <c r="H32" s="17">
        <v>65.061538461538461</v>
      </c>
      <c r="I32" s="17">
        <v>294.20487179487179</v>
      </c>
      <c r="J32" s="11">
        <f t="shared" si="12"/>
        <v>29.737435897435887</v>
      </c>
      <c r="K32">
        <f t="shared" si="16"/>
        <v>-1.2125641025641016</v>
      </c>
      <c r="L32">
        <f t="shared" si="13"/>
        <v>1.1248640000000001</v>
      </c>
      <c r="M32">
        <f t="shared" si="14"/>
        <v>0.88899635867091487</v>
      </c>
      <c r="N32" s="2">
        <f t="shared" si="15"/>
        <v>-1.0779650718345519</v>
      </c>
    </row>
    <row r="33" spans="1:15">
      <c r="A33">
        <v>4</v>
      </c>
      <c r="B33">
        <v>2005</v>
      </c>
      <c r="C33" s="14">
        <v>198.81333333333333</v>
      </c>
      <c r="D33" s="14">
        <v>62.161538461538456</v>
      </c>
      <c r="E33" s="20">
        <v>6.45</v>
      </c>
      <c r="F33" s="3">
        <f t="shared" si="11"/>
        <v>267.42487179487176</v>
      </c>
      <c r="G33" s="15">
        <v>232.09666666666664</v>
      </c>
      <c r="H33" s="17">
        <v>63.853076923076927</v>
      </c>
      <c r="I33" s="17">
        <v>295.94974358974355</v>
      </c>
      <c r="J33" s="11">
        <f t="shared" si="12"/>
        <v>28.524871794871785</v>
      </c>
      <c r="K33">
        <f t="shared" si="16"/>
        <v>-1.2125641025641016</v>
      </c>
      <c r="L33">
        <f t="shared" si="13"/>
        <v>1.1698585600000002</v>
      </c>
      <c r="M33">
        <f t="shared" si="14"/>
        <v>0.85480419102972571</v>
      </c>
      <c r="N33" s="2">
        <f t="shared" si="15"/>
        <v>-1.0365048767639922</v>
      </c>
    </row>
    <row r="34" spans="1:15">
      <c r="A34">
        <v>5</v>
      </c>
      <c r="B34">
        <v>2006</v>
      </c>
      <c r="C34" s="14">
        <v>202.59</v>
      </c>
      <c r="D34" s="14">
        <v>61.342307692307685</v>
      </c>
      <c r="E34" s="20">
        <v>6.45</v>
      </c>
      <c r="F34" s="3">
        <f t="shared" si="11"/>
        <v>270.38230769230768</v>
      </c>
      <c r="G34" s="15">
        <v>235.04999999999995</v>
      </c>
      <c r="H34" s="17">
        <v>62.644615384615392</v>
      </c>
      <c r="I34" s="17">
        <v>297.69461538461536</v>
      </c>
      <c r="J34" s="11">
        <f t="shared" si="12"/>
        <v>27.312307692307684</v>
      </c>
      <c r="K34">
        <f t="shared" si="16"/>
        <v>-1.2125641025641016</v>
      </c>
      <c r="L34">
        <f t="shared" si="13"/>
        <v>1.2166529024000003</v>
      </c>
      <c r="M34">
        <f t="shared" si="14"/>
        <v>0.82192710675935154</v>
      </c>
      <c r="N34" s="2">
        <f t="shared" si="15"/>
        <v>-0.99663930458076166</v>
      </c>
    </row>
    <row r="35" spans="1:15">
      <c r="A35">
        <v>6</v>
      </c>
      <c r="B35">
        <v>2007</v>
      </c>
      <c r="C35" s="14">
        <v>206.36666666666667</v>
      </c>
      <c r="D35" s="14">
        <v>60.523076923076914</v>
      </c>
      <c r="E35" s="20">
        <v>6.45</v>
      </c>
      <c r="F35" s="3">
        <f t="shared" si="11"/>
        <v>273.33974358974359</v>
      </c>
      <c r="G35" s="15">
        <v>238.00333333333327</v>
      </c>
      <c r="H35" s="17">
        <v>61.436153846153857</v>
      </c>
      <c r="I35" s="17">
        <v>299.43948717948712</v>
      </c>
      <c r="J35" s="11">
        <f t="shared" si="12"/>
        <v>26.099743589743525</v>
      </c>
      <c r="K35">
        <f t="shared" si="16"/>
        <v>-1.2125641025641585</v>
      </c>
      <c r="L35">
        <f t="shared" si="13"/>
        <v>1.2653190184960004</v>
      </c>
      <c r="M35">
        <f t="shared" si="14"/>
        <v>0.79031452573014571</v>
      </c>
      <c r="N35" s="2">
        <f t="shared" si="15"/>
        <v>-0.95830702363539266</v>
      </c>
    </row>
    <row r="36" spans="1:15">
      <c r="A36">
        <v>7</v>
      </c>
      <c r="B36">
        <v>2008</v>
      </c>
      <c r="C36" s="14">
        <v>210.14333333333335</v>
      </c>
      <c r="D36" s="14">
        <v>59.703846153846143</v>
      </c>
      <c r="E36" s="20">
        <v>6.45</v>
      </c>
      <c r="F36" s="3">
        <f t="shared" si="11"/>
        <v>276.29717948717945</v>
      </c>
      <c r="G36" s="15">
        <v>240.95666666666659</v>
      </c>
      <c r="H36" s="17">
        <v>60.227692307692323</v>
      </c>
      <c r="I36" s="17">
        <v>301.18435897435893</v>
      </c>
      <c r="J36" s="11">
        <f t="shared" si="12"/>
        <v>24.88717948717948</v>
      </c>
      <c r="K36">
        <f t="shared" si="16"/>
        <v>-1.2125641025640448</v>
      </c>
      <c r="L36">
        <f t="shared" si="13"/>
        <v>1.3159317792358403</v>
      </c>
      <c r="M36">
        <f t="shared" si="14"/>
        <v>0.75991781320206331</v>
      </c>
      <c r="N36" s="2">
        <f t="shared" si="15"/>
        <v>-0.92144906118779124</v>
      </c>
    </row>
    <row r="37" spans="1:15">
      <c r="A37">
        <v>8</v>
      </c>
      <c r="B37">
        <v>2009</v>
      </c>
      <c r="C37" s="31">
        <v>213.92</v>
      </c>
      <c r="D37" s="14">
        <v>58.884615384615373</v>
      </c>
      <c r="E37" s="20">
        <v>6.45</v>
      </c>
      <c r="F37" s="3">
        <f t="shared" si="11"/>
        <v>279.25461538461536</v>
      </c>
      <c r="G37" s="29">
        <v>243.91</v>
      </c>
      <c r="H37" s="17">
        <v>59.019230769230788</v>
      </c>
      <c r="I37" s="17">
        <v>302.9292307692308</v>
      </c>
      <c r="J37" s="11">
        <f t="shared" si="12"/>
        <v>23.674615384615436</v>
      </c>
      <c r="K37">
        <f t="shared" si="16"/>
        <v>-1.2125641025640448</v>
      </c>
      <c r="L37">
        <f t="shared" si="13"/>
        <v>1.3685690504052741</v>
      </c>
      <c r="M37">
        <f t="shared" si="14"/>
        <v>0.73069020500198378</v>
      </c>
      <c r="N37" s="2">
        <f t="shared" si="15"/>
        <v>-0.88600871268056836</v>
      </c>
      <c r="O37" s="1"/>
    </row>
    <row r="38" spans="1:15">
      <c r="A38">
        <v>9</v>
      </c>
      <c r="B38">
        <v>2010</v>
      </c>
      <c r="C38" s="14">
        <v>219.26428571428571</v>
      </c>
      <c r="D38" s="14">
        <v>58.065384615384602</v>
      </c>
      <c r="E38" s="20">
        <v>6.45</v>
      </c>
      <c r="F38" s="3">
        <f t="shared" si="11"/>
        <v>283.7796703296703</v>
      </c>
      <c r="G38" s="15">
        <v>252.86571428571429</v>
      </c>
      <c r="H38" s="17">
        <v>57.810769230769253</v>
      </c>
      <c r="I38" s="17">
        <v>310.67648351648353</v>
      </c>
      <c r="J38" s="11">
        <f t="shared" si="12"/>
        <v>26.896813186813233</v>
      </c>
      <c r="K38">
        <f t="shared" si="16"/>
        <v>3.2221978021977975</v>
      </c>
      <c r="L38">
        <f t="shared" si="13"/>
        <v>1.4233118124214852</v>
      </c>
      <c r="M38">
        <f t="shared" si="14"/>
        <v>0.70258673557883045</v>
      </c>
      <c r="N38" s="2">
        <f t="shared" si="15"/>
        <v>2.2638734352354328</v>
      </c>
    </row>
    <row r="39" spans="1:15">
      <c r="A39">
        <v>10</v>
      </c>
      <c r="B39">
        <v>2011</v>
      </c>
      <c r="C39" s="14">
        <v>224.60857142857142</v>
      </c>
      <c r="D39" s="14">
        <v>57.246153846153831</v>
      </c>
      <c r="E39" s="20">
        <v>6.45</v>
      </c>
      <c r="F39" s="3">
        <f t="shared" si="11"/>
        <v>288.30472527472523</v>
      </c>
      <c r="G39" s="15">
        <v>261.82142857142856</v>
      </c>
      <c r="H39" s="17">
        <v>56.602307692307718</v>
      </c>
      <c r="I39" s="17">
        <v>318.42373626373626</v>
      </c>
      <c r="J39" s="11">
        <f t="shared" si="12"/>
        <v>30.119010989011031</v>
      </c>
      <c r="K39">
        <f t="shared" si="16"/>
        <v>3.2221978021977975</v>
      </c>
      <c r="L39">
        <f t="shared" si="13"/>
        <v>1.4802442849183446</v>
      </c>
      <c r="M39">
        <f t="shared" si="14"/>
        <v>0.67556416882579851</v>
      </c>
      <c r="N39" s="2">
        <f t="shared" si="15"/>
        <v>2.1768013800340698</v>
      </c>
    </row>
    <row r="40" spans="1:15">
      <c r="A40">
        <v>11</v>
      </c>
      <c r="B40">
        <v>2012</v>
      </c>
      <c r="C40" s="14">
        <v>229.95285714285714</v>
      </c>
      <c r="D40" s="14">
        <v>56.42692307692306</v>
      </c>
      <c r="E40" s="20">
        <v>6.45</v>
      </c>
      <c r="F40" s="3">
        <f t="shared" si="11"/>
        <v>292.82978021978016</v>
      </c>
      <c r="G40" s="15">
        <v>270.77714285714285</v>
      </c>
      <c r="H40" s="17">
        <v>55.393846153846184</v>
      </c>
      <c r="I40" s="17">
        <v>326.17098901098905</v>
      </c>
      <c r="J40" s="11">
        <f t="shared" si="12"/>
        <v>33.341208791208885</v>
      </c>
      <c r="K40">
        <f t="shared" si="16"/>
        <v>3.2221978021978543</v>
      </c>
      <c r="L40">
        <f t="shared" si="13"/>
        <v>1.5394540563150783</v>
      </c>
      <c r="M40">
        <f t="shared" si="14"/>
        <v>0.6495809315632679</v>
      </c>
      <c r="N40" s="2">
        <f t="shared" si="15"/>
        <v>2.0930782500327965</v>
      </c>
    </row>
    <row r="41" spans="1:15">
      <c r="A41">
        <v>12</v>
      </c>
      <c r="B41">
        <v>2013</v>
      </c>
      <c r="C41" s="14">
        <v>235.29714285714286</v>
      </c>
      <c r="D41" s="14">
        <v>55.60769230769229</v>
      </c>
      <c r="E41" s="20">
        <v>6.45</v>
      </c>
      <c r="F41" s="3">
        <f t="shared" si="11"/>
        <v>297.35483516483515</v>
      </c>
      <c r="G41" s="15">
        <v>279.73285714285714</v>
      </c>
      <c r="H41" s="17">
        <v>54.185384615384649</v>
      </c>
      <c r="I41" s="17">
        <v>333.91824175824178</v>
      </c>
      <c r="J41" s="11">
        <f t="shared" si="12"/>
        <v>36.563406593406626</v>
      </c>
      <c r="K41">
        <f t="shared" si="16"/>
        <v>3.2221978021977407</v>
      </c>
      <c r="L41">
        <f t="shared" si="13"/>
        <v>1.6010322185676817</v>
      </c>
      <c r="M41">
        <f t="shared" si="14"/>
        <v>0.62459704958006512</v>
      </c>
      <c r="N41" s="2">
        <f t="shared" si="15"/>
        <v>2.012575240416079</v>
      </c>
    </row>
    <row r="42" spans="1:15">
      <c r="A42">
        <v>13</v>
      </c>
      <c r="B42">
        <v>2014</v>
      </c>
      <c r="C42" s="14">
        <v>240.64142857142858</v>
      </c>
      <c r="D42" s="14">
        <v>54.788461538461519</v>
      </c>
      <c r="E42" s="20">
        <v>6.45</v>
      </c>
      <c r="F42" s="3">
        <f t="shared" si="11"/>
        <v>301.87989010989008</v>
      </c>
      <c r="G42" s="15">
        <v>288.68857142857144</v>
      </c>
      <c r="H42" s="17">
        <v>52.976923076923114</v>
      </c>
      <c r="I42" s="17">
        <v>341.66549450549456</v>
      </c>
      <c r="J42" s="11">
        <f t="shared" si="12"/>
        <v>39.78560439560448</v>
      </c>
      <c r="K42">
        <f t="shared" si="16"/>
        <v>3.2221978021978543</v>
      </c>
      <c r="L42">
        <f t="shared" si="13"/>
        <v>1.6650735073103891</v>
      </c>
      <c r="M42">
        <f t="shared" si="14"/>
        <v>0.600574086134678</v>
      </c>
      <c r="N42" s="2">
        <f t="shared" si="15"/>
        <v>1.9351685004001444</v>
      </c>
    </row>
    <row r="43" spans="1:15">
      <c r="A43">
        <v>14</v>
      </c>
      <c r="B43">
        <v>2015</v>
      </c>
      <c r="C43" s="14">
        <v>245.98571428571429</v>
      </c>
      <c r="D43" s="14">
        <v>53.969230769230748</v>
      </c>
      <c r="E43" s="20">
        <v>6.45</v>
      </c>
      <c r="F43" s="3">
        <f t="shared" si="11"/>
        <v>306.40494505494502</v>
      </c>
      <c r="G43" s="15">
        <v>297.64428571428573</v>
      </c>
      <c r="H43" s="17">
        <v>51.76846153846158</v>
      </c>
      <c r="I43" s="17">
        <v>349.41274725274729</v>
      </c>
      <c r="J43" s="11">
        <f t="shared" si="12"/>
        <v>43.007802197802278</v>
      </c>
      <c r="K43">
        <f t="shared" si="16"/>
        <v>3.2221978021977975</v>
      </c>
      <c r="L43">
        <f t="shared" si="13"/>
        <v>1.7316764476028046</v>
      </c>
      <c r="M43">
        <f t="shared" si="14"/>
        <v>0.57747508282180582</v>
      </c>
      <c r="N43" s="2">
        <f t="shared" si="15"/>
        <v>1.8607389426924137</v>
      </c>
    </row>
    <row r="44" spans="1:15">
      <c r="A44">
        <v>15</v>
      </c>
      <c r="B44">
        <v>2016</v>
      </c>
      <c r="C44" s="31">
        <v>251.33</v>
      </c>
      <c r="D44" s="32">
        <v>53.15</v>
      </c>
      <c r="E44" s="20">
        <v>6.45</v>
      </c>
      <c r="F44" s="3">
        <f t="shared" si="11"/>
        <v>310.93</v>
      </c>
      <c r="G44" s="29">
        <v>306.60000000000002</v>
      </c>
      <c r="H44" s="30">
        <v>50.56</v>
      </c>
      <c r="I44" s="17">
        <v>357.16</v>
      </c>
      <c r="J44" s="11">
        <f t="shared" si="12"/>
        <v>46.230000000000018</v>
      </c>
      <c r="K44">
        <f t="shared" si="16"/>
        <v>3.2221978021977407</v>
      </c>
      <c r="L44">
        <f t="shared" si="13"/>
        <v>1.8009435055069167</v>
      </c>
      <c r="M44">
        <f t="shared" si="14"/>
        <v>0.55526450271327477</v>
      </c>
      <c r="N44" s="2">
        <f t="shared" si="15"/>
        <v>1.7891720602811354</v>
      </c>
    </row>
    <row r="45" spans="1:15">
      <c r="A45">
        <v>16</v>
      </c>
      <c r="B45">
        <v>2017</v>
      </c>
      <c r="C45" s="31">
        <v>244.53</v>
      </c>
      <c r="D45" s="5">
        <v>53.48</v>
      </c>
      <c r="E45" s="20">
        <v>6.45</v>
      </c>
      <c r="F45" s="3">
        <f t="shared" si="11"/>
        <v>304.45999999999998</v>
      </c>
      <c r="G45" s="15">
        <v>310.32749999999999</v>
      </c>
      <c r="H45" s="17">
        <v>55.617500000000007</v>
      </c>
      <c r="I45" s="17">
        <v>365.94499999999999</v>
      </c>
      <c r="J45" s="11">
        <f t="shared" si="12"/>
        <v>61.485000000000014</v>
      </c>
      <c r="K45">
        <f t="shared" si="16"/>
        <v>15.254999999999995</v>
      </c>
      <c r="L45">
        <f t="shared" si="13"/>
        <v>1.8729812457271937</v>
      </c>
      <c r="M45">
        <f t="shared" si="14"/>
        <v>0.53390817568584104</v>
      </c>
      <c r="N45" s="2">
        <f t="shared" si="15"/>
        <v>8.1447692200875039</v>
      </c>
    </row>
    <row r="46" spans="1:15">
      <c r="A46">
        <v>17</v>
      </c>
      <c r="B46">
        <v>2018</v>
      </c>
      <c r="C46" s="14">
        <v>239.34</v>
      </c>
      <c r="D46" s="5">
        <v>53.809999999999995</v>
      </c>
      <c r="E46" s="20">
        <v>15.61</v>
      </c>
      <c r="F46" s="3">
        <f t="shared" si="11"/>
        <v>308.76</v>
      </c>
      <c r="G46" s="15">
        <v>314.05499999999995</v>
      </c>
      <c r="H46" s="17">
        <v>60.675000000000011</v>
      </c>
      <c r="I46" s="17">
        <v>374.72999999999996</v>
      </c>
      <c r="J46" s="11">
        <f t="shared" si="12"/>
        <v>65.96999999999997</v>
      </c>
      <c r="K46">
        <f t="shared" si="16"/>
        <v>4.4849999999999568</v>
      </c>
      <c r="L46">
        <f t="shared" si="13"/>
        <v>1.9479004955562815</v>
      </c>
      <c r="M46">
        <f t="shared" si="14"/>
        <v>0.51337324585177024</v>
      </c>
      <c r="N46" s="2">
        <f t="shared" si="15"/>
        <v>2.3024790076451676</v>
      </c>
    </row>
    <row r="47" spans="1:15">
      <c r="A47">
        <v>18</v>
      </c>
      <c r="B47">
        <v>2019</v>
      </c>
      <c r="C47" s="14">
        <v>234.15</v>
      </c>
      <c r="D47" s="5">
        <v>54.139999999999993</v>
      </c>
      <c r="E47" s="20">
        <v>15.61</v>
      </c>
      <c r="F47" s="3">
        <f t="shared" si="11"/>
        <v>303.90000000000003</v>
      </c>
      <c r="G47" s="15">
        <v>317.78249999999991</v>
      </c>
      <c r="H47" s="17">
        <v>65.732500000000016</v>
      </c>
      <c r="I47" s="17">
        <v>383.51499999999993</v>
      </c>
      <c r="J47" s="11">
        <f t="shared" si="12"/>
        <v>79.614999999999895</v>
      </c>
      <c r="K47">
        <f t="shared" si="16"/>
        <v>13.644999999999925</v>
      </c>
      <c r="L47">
        <f t="shared" si="13"/>
        <v>2.025816515378533</v>
      </c>
      <c r="M47">
        <f t="shared" si="14"/>
        <v>0.49362812101131748</v>
      </c>
      <c r="N47" s="2">
        <f t="shared" si="15"/>
        <v>6.7355557111993898</v>
      </c>
    </row>
    <row r="48" spans="1:15">
      <c r="A48">
        <v>19</v>
      </c>
      <c r="B48">
        <v>2020</v>
      </c>
      <c r="C48" s="31"/>
      <c r="D48" s="32"/>
      <c r="E48" s="20">
        <v>15.61</v>
      </c>
      <c r="F48" s="3">
        <f>227.39+E48</f>
        <v>243</v>
      </c>
      <c r="G48" s="29">
        <v>321.51</v>
      </c>
      <c r="H48" s="30">
        <v>70.790000000000006</v>
      </c>
      <c r="I48" s="17">
        <v>392.3</v>
      </c>
      <c r="J48" s="11">
        <f t="shared" si="12"/>
        <v>149.30000000000001</v>
      </c>
      <c r="K48">
        <f t="shared" si="16"/>
        <v>69.685000000000116</v>
      </c>
      <c r="L48">
        <f t="shared" si="13"/>
        <v>2.1068491759936743</v>
      </c>
      <c r="M48">
        <f t="shared" si="14"/>
        <v>0.47464242404934376</v>
      </c>
      <c r="N48" s="2">
        <f t="shared" si="15"/>
        <v>33.075457319878574</v>
      </c>
    </row>
    <row r="49" spans="10:14">
      <c r="K49" s="1">
        <f>SUM(K29:K48)</f>
        <v>149.30000000000001</v>
      </c>
      <c r="N49" s="7">
        <f>SUM(N29:N48)</f>
        <v>88.114895608935626</v>
      </c>
    </row>
    <row r="50" spans="10:14">
      <c r="J50" s="2"/>
      <c r="K50" s="32">
        <f>K49-K29</f>
        <v>149.77999999999997</v>
      </c>
      <c r="L50" s="2"/>
      <c r="M50" s="2"/>
      <c r="N50" s="32">
        <f>N49-K29</f>
        <v>88.594895608935587</v>
      </c>
    </row>
    <row r="51" spans="10:14" ht="28.3">
      <c r="K51" s="34" t="s">
        <v>21</v>
      </c>
      <c r="L51" s="35"/>
      <c r="M51" s="35"/>
      <c r="N51" s="34" t="s">
        <v>22</v>
      </c>
    </row>
  </sheetData>
  <mergeCells count="1">
    <mergeCell ref="A26:C26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3"/>
  <sheetViews>
    <sheetView topLeftCell="A4" zoomScale="90" zoomScaleNormal="90" workbookViewId="0">
      <selection activeCell="Q28" sqref="Q28"/>
    </sheetView>
  </sheetViews>
  <sheetFormatPr defaultColWidth="9" defaultRowHeight="14.15"/>
  <cols>
    <col min="1" max="2" width="9" style="4"/>
    <col min="3" max="3" width="19.42578125" style="4" bestFit="1" customWidth="1"/>
    <col min="4" max="4" width="17.28515625" style="4" customWidth="1"/>
    <col min="5" max="5" width="25.28515625" style="4" bestFit="1" customWidth="1"/>
    <col min="6" max="6" width="17.28515625" style="4" bestFit="1" customWidth="1"/>
    <col min="7" max="7" width="21" style="4" bestFit="1" customWidth="1"/>
    <col min="8" max="9" width="21" style="4" customWidth="1"/>
    <col min="10" max="10" width="30.28515625" style="4" bestFit="1" customWidth="1"/>
    <col min="11" max="11" width="15.85546875" style="4" bestFit="1" customWidth="1"/>
    <col min="12" max="12" width="19.28515625" style="4" bestFit="1" customWidth="1"/>
    <col min="13" max="13" width="9" style="4"/>
    <col min="14" max="14" width="30.140625" style="4" bestFit="1" customWidth="1"/>
    <col min="15" max="16384" width="9" style="4"/>
  </cols>
  <sheetData>
    <row r="1" spans="1:14">
      <c r="C1" s="4" t="s">
        <v>12</v>
      </c>
      <c r="D1" s="4" t="s">
        <v>8</v>
      </c>
      <c r="E1" s="4" t="s">
        <v>7</v>
      </c>
      <c r="F1" s="4" t="s">
        <v>0</v>
      </c>
      <c r="G1" s="18" t="s">
        <v>1</v>
      </c>
      <c r="H1" s="18" t="s">
        <v>14</v>
      </c>
      <c r="I1" s="18" t="s">
        <v>15</v>
      </c>
      <c r="J1" s="4" t="s">
        <v>2</v>
      </c>
      <c r="K1" s="4" t="s">
        <v>3</v>
      </c>
      <c r="L1" s="4" t="s">
        <v>4</v>
      </c>
      <c r="N1" s="4" t="s">
        <v>5</v>
      </c>
    </row>
    <row r="2" spans="1:14">
      <c r="C2" s="8">
        <v>44</v>
      </c>
      <c r="D2" s="8">
        <v>44</v>
      </c>
      <c r="E2" s="8">
        <v>44</v>
      </c>
      <c r="G2" s="19">
        <v>51</v>
      </c>
      <c r="H2" s="19">
        <v>51</v>
      </c>
      <c r="I2" s="19">
        <v>51</v>
      </c>
    </row>
    <row r="3" spans="1:14">
      <c r="A3" s="4">
        <v>0</v>
      </c>
      <c r="B3" s="4">
        <v>2001</v>
      </c>
      <c r="C3" s="33">
        <v>250.44</v>
      </c>
      <c r="D3" s="33">
        <v>57.02</v>
      </c>
      <c r="E3" s="4">
        <v>0</v>
      </c>
      <c r="F3" s="4">
        <f>SUM(C3:E3)</f>
        <v>307.45999999999998</v>
      </c>
      <c r="G3" s="18">
        <v>221.77</v>
      </c>
      <c r="H3" s="12">
        <v>58.63</v>
      </c>
      <c r="I3" s="12">
        <v>280.40000000000003</v>
      </c>
      <c r="J3" s="4">
        <f>I3-F3</f>
        <v>-27.059999999999945</v>
      </c>
      <c r="K3" s="4">
        <f>J3</f>
        <v>-27.059999999999945</v>
      </c>
      <c r="L3" s="4">
        <f>(1+0.004)^A3</f>
        <v>1</v>
      </c>
      <c r="M3" s="4">
        <f>1/L3</f>
        <v>1</v>
      </c>
      <c r="N3" s="4">
        <f>K3/L3</f>
        <v>-27.059999999999945</v>
      </c>
    </row>
    <row r="4" spans="1:14">
      <c r="A4" s="4">
        <v>1</v>
      </c>
      <c r="B4" s="4">
        <v>2002</v>
      </c>
      <c r="C4" s="33">
        <v>164.2</v>
      </c>
      <c r="D4" s="4">
        <f>D3+(D5-D3)/2</f>
        <v>57.555000000000007</v>
      </c>
      <c r="E4" s="4">
        <v>6.12</v>
      </c>
      <c r="F4" s="4">
        <f t="shared" ref="F4:F22" si="0">SUM(C4:E4)</f>
        <v>227.875</v>
      </c>
      <c r="G4" s="18">
        <v>223.98000000000002</v>
      </c>
      <c r="H4" s="12">
        <v>62.45</v>
      </c>
      <c r="I4" s="12">
        <v>286.43</v>
      </c>
      <c r="J4" s="4">
        <f t="shared" ref="J4:J22" si="1">I4-F4</f>
        <v>58.555000000000007</v>
      </c>
      <c r="K4" s="4">
        <f>J4-J3</f>
        <v>85.614999999999952</v>
      </c>
      <c r="L4" s="4">
        <f t="shared" ref="L4:L22" si="2">(1+0.04)^A4</f>
        <v>1.04</v>
      </c>
      <c r="M4" s="4">
        <f t="shared" ref="M4:M22" si="3">1/L4</f>
        <v>0.96153846153846145</v>
      </c>
      <c r="N4" s="4">
        <f>K4/L4</f>
        <v>82.32211538461533</v>
      </c>
    </row>
    <row r="5" spans="1:14">
      <c r="A5" s="4">
        <v>2</v>
      </c>
      <c r="B5" s="4">
        <v>2003</v>
      </c>
      <c r="C5" s="33">
        <v>168.16</v>
      </c>
      <c r="D5" s="33">
        <v>58.09</v>
      </c>
      <c r="E5" s="4">
        <v>6.12</v>
      </c>
      <c r="F5" s="4">
        <f t="shared" si="0"/>
        <v>232.37</v>
      </c>
      <c r="G5" s="18">
        <v>226.19</v>
      </c>
      <c r="H5" s="12">
        <v>66.27</v>
      </c>
      <c r="I5" s="12">
        <v>292.45999999999998</v>
      </c>
      <c r="J5" s="4">
        <f t="shared" si="1"/>
        <v>60.089999999999975</v>
      </c>
      <c r="K5" s="4">
        <f>J5-J4</f>
        <v>1.5349999999999682</v>
      </c>
      <c r="L5" s="4">
        <f t="shared" si="2"/>
        <v>1.0816000000000001</v>
      </c>
      <c r="M5" s="4">
        <f t="shared" si="3"/>
        <v>0.92455621301775137</v>
      </c>
      <c r="N5" s="4">
        <f t="shared" ref="N5:N22" si="4">K5/L5</f>
        <v>1.4191937869822189</v>
      </c>
    </row>
    <row r="6" spans="1:14">
      <c r="A6" s="4">
        <v>3</v>
      </c>
      <c r="B6" s="4">
        <v>2004</v>
      </c>
      <c r="C6" s="4">
        <f>C5+($C$11-$C$5)/6</f>
        <v>171.84166666666667</v>
      </c>
      <c r="D6" s="9">
        <f>D5+($D$18-$D$5)/13</f>
        <v>57.871538461538464</v>
      </c>
      <c r="E6" s="4">
        <v>6.12</v>
      </c>
      <c r="F6" s="4">
        <f t="shared" si="0"/>
        <v>235.83320512820512</v>
      </c>
      <c r="G6" s="18">
        <v>229.14333333333332</v>
      </c>
      <c r="H6" s="12">
        <v>65.061538461538461</v>
      </c>
      <c r="I6" s="12">
        <v>294.20487179487179</v>
      </c>
      <c r="J6" s="4">
        <f t="shared" si="1"/>
        <v>58.37166666666667</v>
      </c>
      <c r="K6" s="4">
        <f t="shared" ref="K6:K21" si="5">J6-J5</f>
        <v>-1.7183333333333053</v>
      </c>
      <c r="L6" s="4">
        <f t="shared" si="2"/>
        <v>1.1248640000000001</v>
      </c>
      <c r="M6" s="4">
        <f t="shared" si="3"/>
        <v>0.88899635867091487</v>
      </c>
      <c r="N6" s="4">
        <f t="shared" si="4"/>
        <v>-1.5275920763161637</v>
      </c>
    </row>
    <row r="7" spans="1:14">
      <c r="A7" s="4">
        <v>4</v>
      </c>
      <c r="B7" s="4">
        <v>2005</v>
      </c>
      <c r="C7" s="4">
        <f t="shared" ref="C7:C10" si="6">C6+($C$11-$C$5)/6</f>
        <v>175.52333333333334</v>
      </c>
      <c r="D7" s="9">
        <f t="shared" ref="D7:D17" si="7">D6+($D$18-$D$5)/13</f>
        <v>57.653076923076924</v>
      </c>
      <c r="E7" s="4">
        <v>6.12</v>
      </c>
      <c r="F7" s="4">
        <f t="shared" si="0"/>
        <v>239.29641025641027</v>
      </c>
      <c r="G7" s="18">
        <v>232.09666666666664</v>
      </c>
      <c r="H7" s="12">
        <v>63.853076923076927</v>
      </c>
      <c r="I7" s="12">
        <v>295.94974358974355</v>
      </c>
      <c r="J7" s="4">
        <f t="shared" si="1"/>
        <v>56.653333333333279</v>
      </c>
      <c r="K7" s="4">
        <f t="shared" si="5"/>
        <v>-1.7183333333333906</v>
      </c>
      <c r="L7" s="4">
        <f t="shared" si="2"/>
        <v>1.1698585600000002</v>
      </c>
      <c r="M7" s="4">
        <f t="shared" si="3"/>
        <v>0.85480419102972571</v>
      </c>
      <c r="N7" s="4">
        <f t="shared" si="4"/>
        <v>-1.4688385349194608</v>
      </c>
    </row>
    <row r="8" spans="1:14">
      <c r="A8" s="4">
        <v>5</v>
      </c>
      <c r="B8" s="4">
        <v>2006</v>
      </c>
      <c r="C8" s="4">
        <f t="shared" si="6"/>
        <v>179.20500000000001</v>
      </c>
      <c r="D8" s="9">
        <f t="shared" si="7"/>
        <v>57.434615384615384</v>
      </c>
      <c r="E8" s="4">
        <v>6.12</v>
      </c>
      <c r="F8" s="4">
        <f t="shared" si="0"/>
        <v>242.75961538461542</v>
      </c>
      <c r="G8" s="18">
        <v>235.04999999999995</v>
      </c>
      <c r="H8" s="12">
        <v>62.644615384615392</v>
      </c>
      <c r="I8" s="12">
        <v>297.69461538461536</v>
      </c>
      <c r="J8" s="4">
        <f t="shared" si="1"/>
        <v>54.934999999999945</v>
      </c>
      <c r="K8" s="4">
        <f t="shared" si="5"/>
        <v>-1.7183333333333337</v>
      </c>
      <c r="L8" s="4">
        <f>(1+0.04)^A8</f>
        <v>1.2166529024000003</v>
      </c>
      <c r="M8" s="4">
        <f t="shared" si="3"/>
        <v>0.82192710675935154</v>
      </c>
      <c r="N8" s="4">
        <f t="shared" si="4"/>
        <v>-1.4123447451148194</v>
      </c>
    </row>
    <row r="9" spans="1:14">
      <c r="A9" s="4">
        <v>6</v>
      </c>
      <c r="B9" s="4">
        <v>2007</v>
      </c>
      <c r="C9" s="4">
        <f t="shared" si="6"/>
        <v>182.88666666666668</v>
      </c>
      <c r="D9" s="9">
        <f t="shared" si="7"/>
        <v>57.216153846153844</v>
      </c>
      <c r="E9" s="4">
        <v>6.12</v>
      </c>
      <c r="F9" s="4">
        <f t="shared" si="0"/>
        <v>246.22282051282053</v>
      </c>
      <c r="G9" s="18">
        <v>238.00333333333327</v>
      </c>
      <c r="H9" s="12">
        <v>61.436153846153857</v>
      </c>
      <c r="I9" s="12">
        <v>299.43948717948712</v>
      </c>
      <c r="J9" s="4">
        <f t="shared" si="1"/>
        <v>53.216666666666583</v>
      </c>
      <c r="K9" s="4">
        <f t="shared" si="5"/>
        <v>-1.7183333333333621</v>
      </c>
      <c r="L9" s="4">
        <f t="shared" si="2"/>
        <v>1.2653190184960004</v>
      </c>
      <c r="M9" s="4">
        <f t="shared" si="3"/>
        <v>0.79031452573014571</v>
      </c>
      <c r="N9" s="4">
        <f t="shared" si="4"/>
        <v>-1.3580237933796564</v>
      </c>
    </row>
    <row r="10" spans="1:14">
      <c r="A10" s="4">
        <v>7</v>
      </c>
      <c r="B10" s="4">
        <v>2008</v>
      </c>
      <c r="C10" s="4">
        <f t="shared" si="6"/>
        <v>186.56833333333336</v>
      </c>
      <c r="D10" s="9">
        <f t="shared" si="7"/>
        <v>56.997692307692304</v>
      </c>
      <c r="E10" s="4">
        <v>6.12</v>
      </c>
      <c r="F10" s="4">
        <f t="shared" si="0"/>
        <v>249.68602564102565</v>
      </c>
      <c r="G10" s="18">
        <v>240.95666666666659</v>
      </c>
      <c r="H10" s="12">
        <v>60.227692307692323</v>
      </c>
      <c r="I10" s="12">
        <v>301.18435897435893</v>
      </c>
      <c r="J10" s="4">
        <f t="shared" si="1"/>
        <v>51.498333333333278</v>
      </c>
      <c r="K10" s="4">
        <f t="shared" si="5"/>
        <v>-1.7183333333333053</v>
      </c>
      <c r="L10" s="4">
        <f t="shared" si="2"/>
        <v>1.3159317792358403</v>
      </c>
      <c r="M10" s="4">
        <f t="shared" si="3"/>
        <v>0.75991781320206331</v>
      </c>
      <c r="N10" s="4">
        <f t="shared" si="4"/>
        <v>-1.3057921090188573</v>
      </c>
    </row>
    <row r="11" spans="1:14">
      <c r="A11" s="4">
        <v>8</v>
      </c>
      <c r="B11" s="4">
        <v>2009</v>
      </c>
      <c r="C11" s="33">
        <v>190.25</v>
      </c>
      <c r="D11" s="9">
        <f t="shared" si="7"/>
        <v>56.779230769230765</v>
      </c>
      <c r="E11" s="4">
        <v>6.12</v>
      </c>
      <c r="F11" s="4">
        <f t="shared" si="0"/>
        <v>253.14923076923077</v>
      </c>
      <c r="G11" s="18">
        <v>243.91</v>
      </c>
      <c r="H11" s="12">
        <v>59.019230769230788</v>
      </c>
      <c r="I11" s="12">
        <v>302.9292307692308</v>
      </c>
      <c r="J11" s="4">
        <f t="shared" si="1"/>
        <v>49.78000000000003</v>
      </c>
      <c r="K11" s="4">
        <f t="shared" si="5"/>
        <v>-1.7183333333332484</v>
      </c>
      <c r="L11" s="4">
        <f t="shared" si="2"/>
        <v>1.3685690504052741</v>
      </c>
      <c r="M11" s="4">
        <f t="shared" si="3"/>
        <v>0.73069020500198378</v>
      </c>
      <c r="N11" s="4">
        <f t="shared" si="4"/>
        <v>-1.2555693355950135</v>
      </c>
    </row>
    <row r="12" spans="1:14">
      <c r="A12" s="4">
        <v>9</v>
      </c>
      <c r="B12" s="4">
        <v>2010</v>
      </c>
      <c r="C12" s="4">
        <f>C11+($C$18-$C$11)/7</f>
        <v>196.11857142857144</v>
      </c>
      <c r="D12" s="9">
        <f t="shared" si="7"/>
        <v>56.560769230769225</v>
      </c>
      <c r="E12" s="4">
        <v>6.12</v>
      </c>
      <c r="F12" s="4">
        <f t="shared" si="0"/>
        <v>258.79934065934066</v>
      </c>
      <c r="G12" s="18">
        <v>252.86571428571429</v>
      </c>
      <c r="H12" s="12">
        <v>57.810769230769253</v>
      </c>
      <c r="I12" s="12">
        <v>310.67648351648353</v>
      </c>
      <c r="J12" s="4">
        <f t="shared" si="1"/>
        <v>51.877142857142871</v>
      </c>
      <c r="K12" s="4">
        <f t="shared" si="5"/>
        <v>2.0971428571428419</v>
      </c>
      <c r="L12" s="4">
        <f t="shared" si="2"/>
        <v>1.4233118124214852</v>
      </c>
      <c r="M12" s="4">
        <f t="shared" si="3"/>
        <v>0.70258673557883045</v>
      </c>
      <c r="N12" s="4">
        <f t="shared" si="4"/>
        <v>1.473424754042451</v>
      </c>
    </row>
    <row r="13" spans="1:14">
      <c r="A13" s="4">
        <v>10</v>
      </c>
      <c r="B13" s="4">
        <v>2011</v>
      </c>
      <c r="C13" s="4">
        <f t="shared" ref="C13:C17" si="8">C12+($C$18-$C$11)/7</f>
        <v>201.98714285714289</v>
      </c>
      <c r="D13" s="9">
        <f t="shared" si="7"/>
        <v>56.342307692307685</v>
      </c>
      <c r="E13" s="4">
        <v>6.12</v>
      </c>
      <c r="F13" s="4">
        <f t="shared" si="0"/>
        <v>264.4494505494506</v>
      </c>
      <c r="G13" s="18">
        <v>261.82142857142856</v>
      </c>
      <c r="H13" s="12">
        <v>56.602307692307718</v>
      </c>
      <c r="I13" s="12">
        <v>318.42373626373626</v>
      </c>
      <c r="J13" s="4">
        <f t="shared" si="1"/>
        <v>53.974285714285656</v>
      </c>
      <c r="K13" s="4">
        <f t="shared" si="5"/>
        <v>2.097142857142785</v>
      </c>
      <c r="L13" s="4">
        <f t="shared" si="2"/>
        <v>1.4802442849183446</v>
      </c>
      <c r="M13" s="4">
        <f t="shared" si="3"/>
        <v>0.67556416882579851</v>
      </c>
      <c r="N13" s="4">
        <f t="shared" si="4"/>
        <v>1.4167545711946259</v>
      </c>
    </row>
    <row r="14" spans="1:14">
      <c r="A14" s="4">
        <v>11</v>
      </c>
      <c r="B14" s="4">
        <v>2012</v>
      </c>
      <c r="C14" s="4">
        <f t="shared" si="8"/>
        <v>207.85571428571433</v>
      </c>
      <c r="D14" s="9">
        <f t="shared" si="7"/>
        <v>56.123846153846145</v>
      </c>
      <c r="E14" s="4">
        <v>6.12</v>
      </c>
      <c r="F14" s="4">
        <f t="shared" si="0"/>
        <v>270.09956043956049</v>
      </c>
      <c r="G14" s="18">
        <v>270.77714285714285</v>
      </c>
      <c r="H14" s="12">
        <v>55.393846153846184</v>
      </c>
      <c r="I14" s="12">
        <v>326.17098901098905</v>
      </c>
      <c r="J14" s="4">
        <f t="shared" si="1"/>
        <v>56.071428571428555</v>
      </c>
      <c r="K14" s="4">
        <f t="shared" si="5"/>
        <v>2.0971428571428987</v>
      </c>
      <c r="L14" s="4">
        <f t="shared" si="2"/>
        <v>1.5394540563150783</v>
      </c>
      <c r="M14" s="4">
        <f t="shared" si="3"/>
        <v>0.6495809315632679</v>
      </c>
      <c r="N14" s="4">
        <f t="shared" si="4"/>
        <v>1.3622640107641373</v>
      </c>
    </row>
    <row r="15" spans="1:14">
      <c r="A15" s="4">
        <v>12</v>
      </c>
      <c r="B15" s="4">
        <v>2013</v>
      </c>
      <c r="C15" s="4">
        <f t="shared" si="8"/>
        <v>213.72428571428577</v>
      </c>
      <c r="D15" s="9">
        <f t="shared" si="7"/>
        <v>55.905384615384605</v>
      </c>
      <c r="E15" s="4">
        <v>6.12</v>
      </c>
      <c r="F15" s="4">
        <f t="shared" si="0"/>
        <v>275.74967032967038</v>
      </c>
      <c r="G15" s="18">
        <v>279.73285714285714</v>
      </c>
      <c r="H15" s="12">
        <v>54.185384615384649</v>
      </c>
      <c r="I15" s="12">
        <v>333.91824175824178</v>
      </c>
      <c r="J15" s="4">
        <f t="shared" si="1"/>
        <v>58.168571428571397</v>
      </c>
      <c r="K15" s="4">
        <f t="shared" si="5"/>
        <v>2.0971428571428419</v>
      </c>
      <c r="L15" s="4">
        <f t="shared" si="2"/>
        <v>1.6010322185676817</v>
      </c>
      <c r="M15" s="4">
        <f t="shared" si="3"/>
        <v>0.62459704958006512</v>
      </c>
      <c r="N15" s="4">
        <f t="shared" si="4"/>
        <v>1.3098692411193271</v>
      </c>
    </row>
    <row r="16" spans="1:14">
      <c r="A16" s="4">
        <v>13</v>
      </c>
      <c r="B16" s="4">
        <v>2014</v>
      </c>
      <c r="C16" s="4">
        <f>C15+($C$18-$C$11)/7</f>
        <v>219.59285714285721</v>
      </c>
      <c r="D16" s="9">
        <f t="shared" si="7"/>
        <v>55.686923076923065</v>
      </c>
      <c r="E16" s="4">
        <v>6.12</v>
      </c>
      <c r="F16" s="4">
        <f t="shared" si="0"/>
        <v>281.39978021978027</v>
      </c>
      <c r="G16" s="18">
        <v>288.68857142857144</v>
      </c>
      <c r="H16" s="12">
        <v>52.976923076923114</v>
      </c>
      <c r="I16" s="12">
        <v>341.66549450549456</v>
      </c>
      <c r="J16" s="4">
        <f t="shared" si="1"/>
        <v>60.265714285714296</v>
      </c>
      <c r="K16" s="4">
        <f t="shared" si="5"/>
        <v>2.0971428571428987</v>
      </c>
      <c r="L16" s="4">
        <f t="shared" si="2"/>
        <v>1.6650735073103891</v>
      </c>
      <c r="M16" s="4">
        <f t="shared" si="3"/>
        <v>0.600574086134678</v>
      </c>
      <c r="N16" s="4">
        <f t="shared" si="4"/>
        <v>1.2594896549224639</v>
      </c>
    </row>
    <row r="17" spans="1:14">
      <c r="A17" s="4">
        <v>14</v>
      </c>
      <c r="B17" s="4">
        <v>2015</v>
      </c>
      <c r="C17" s="4">
        <f t="shared" si="8"/>
        <v>225.46142857142866</v>
      </c>
      <c r="D17" s="9">
        <f t="shared" si="7"/>
        <v>55.468461538461526</v>
      </c>
      <c r="E17" s="4">
        <v>6.12</v>
      </c>
      <c r="F17" s="4">
        <f t="shared" si="0"/>
        <v>287.04989010989016</v>
      </c>
      <c r="G17" s="18">
        <v>297.64428571428573</v>
      </c>
      <c r="H17" s="12">
        <v>51.76846153846158</v>
      </c>
      <c r="I17" s="12">
        <v>349.41274725274729</v>
      </c>
      <c r="J17" s="4">
        <f t="shared" si="1"/>
        <v>62.362857142857138</v>
      </c>
      <c r="K17" s="4">
        <f t="shared" si="5"/>
        <v>2.0971428571428419</v>
      </c>
      <c r="L17" s="4">
        <f t="shared" si="2"/>
        <v>1.7316764476028046</v>
      </c>
      <c r="M17" s="4">
        <f t="shared" si="3"/>
        <v>0.57747508282180582</v>
      </c>
      <c r="N17" s="4">
        <f t="shared" si="4"/>
        <v>1.2110477451177211</v>
      </c>
    </row>
    <row r="18" spans="1:14">
      <c r="A18" s="4">
        <v>15</v>
      </c>
      <c r="B18" s="4">
        <v>2016</v>
      </c>
      <c r="C18" s="33">
        <v>231.33</v>
      </c>
      <c r="D18" s="33">
        <v>55.25</v>
      </c>
      <c r="E18" s="4">
        <v>6.12</v>
      </c>
      <c r="F18" s="4">
        <f t="shared" si="0"/>
        <v>292.70000000000005</v>
      </c>
      <c r="G18" s="18">
        <v>306.60000000000002</v>
      </c>
      <c r="H18" s="12">
        <v>50.56</v>
      </c>
      <c r="I18" s="12">
        <v>357.16</v>
      </c>
      <c r="J18" s="4">
        <f t="shared" si="1"/>
        <v>64.45999999999998</v>
      </c>
      <c r="K18" s="4">
        <f t="shared" si="5"/>
        <v>2.0971428571428419</v>
      </c>
      <c r="L18" s="4">
        <f t="shared" si="2"/>
        <v>1.8009435055069167</v>
      </c>
      <c r="M18" s="4">
        <f t="shared" si="3"/>
        <v>0.55526450271327477</v>
      </c>
      <c r="N18" s="4">
        <f t="shared" si="4"/>
        <v>1.1644689856901165</v>
      </c>
    </row>
    <row r="19" spans="1:14">
      <c r="A19" s="4">
        <v>16</v>
      </c>
      <c r="B19" s="4">
        <v>2017</v>
      </c>
      <c r="C19" s="33">
        <v>117.31</v>
      </c>
      <c r="D19" s="4">
        <f>D18+($D$22-$D$18)/4</f>
        <v>55.452500000000001</v>
      </c>
      <c r="E19" s="4">
        <v>6.12</v>
      </c>
      <c r="F19" s="4">
        <f t="shared" si="0"/>
        <v>178.88249999999999</v>
      </c>
      <c r="G19" s="18">
        <v>310.32749999999999</v>
      </c>
      <c r="H19" s="12">
        <v>55.617500000000007</v>
      </c>
      <c r="I19" s="12">
        <v>365.94499999999999</v>
      </c>
      <c r="J19" s="4">
        <f t="shared" si="1"/>
        <v>187.0625</v>
      </c>
      <c r="K19" s="4">
        <f t="shared" si="5"/>
        <v>122.60250000000002</v>
      </c>
      <c r="L19" s="4">
        <f t="shared" si="2"/>
        <v>1.8729812457271937</v>
      </c>
      <c r="M19" s="4">
        <f t="shared" si="3"/>
        <v>0.53390817568584104</v>
      </c>
      <c r="N19" s="4">
        <f t="shared" si="4"/>
        <v>65.458477109523344</v>
      </c>
    </row>
    <row r="20" spans="1:14">
      <c r="A20" s="4">
        <v>17</v>
      </c>
      <c r="B20" s="4">
        <v>2018</v>
      </c>
      <c r="C20" s="4">
        <f>C19+($C$22-$C$19)/3</f>
        <v>138.26666666666668</v>
      </c>
      <c r="D20" s="4">
        <f t="shared" ref="D20:D21" si="9">D19+($D$22-$D$18)/4</f>
        <v>55.655000000000001</v>
      </c>
      <c r="E20" s="4">
        <v>6.12</v>
      </c>
      <c r="F20" s="4">
        <f t="shared" si="0"/>
        <v>200.04166666666669</v>
      </c>
      <c r="G20" s="18">
        <v>314.05499999999995</v>
      </c>
      <c r="H20" s="12">
        <v>60.675000000000011</v>
      </c>
      <c r="I20" s="12">
        <v>374.72999999999996</v>
      </c>
      <c r="J20" s="4">
        <f t="shared" si="1"/>
        <v>174.68833333333328</v>
      </c>
      <c r="K20" s="4">
        <f t="shared" si="5"/>
        <v>-12.374166666666724</v>
      </c>
      <c r="L20" s="4">
        <f t="shared" si="2"/>
        <v>1.9479004955562815</v>
      </c>
      <c r="M20" s="4">
        <f t="shared" si="3"/>
        <v>0.51337324585177024</v>
      </c>
      <c r="N20" s="4">
        <f t="shared" si="4"/>
        <v>-6.3525661063774761</v>
      </c>
    </row>
    <row r="21" spans="1:14">
      <c r="A21" s="4">
        <v>18</v>
      </c>
      <c r="B21" s="4">
        <v>2019</v>
      </c>
      <c r="C21" s="4">
        <f t="shared" ref="C21" si="10">C20+($C$22-$C$18)/4</f>
        <v>125.47916666666669</v>
      </c>
      <c r="D21" s="4">
        <f t="shared" si="9"/>
        <v>55.857500000000002</v>
      </c>
      <c r="E21" s="4">
        <f>6.12+4.06</f>
        <v>10.18</v>
      </c>
      <c r="F21" s="4">
        <f t="shared" si="0"/>
        <v>191.51666666666671</v>
      </c>
      <c r="G21" s="18">
        <v>317.78249999999991</v>
      </c>
      <c r="H21" s="12">
        <v>65.732500000000016</v>
      </c>
      <c r="I21" s="12">
        <v>383.51499999999993</v>
      </c>
      <c r="J21" s="4">
        <f t="shared" si="1"/>
        <v>191.99833333333322</v>
      </c>
      <c r="K21" s="4">
        <f t="shared" si="5"/>
        <v>17.309999999999945</v>
      </c>
      <c r="L21" s="4">
        <f t="shared" si="2"/>
        <v>2.025816515378533</v>
      </c>
      <c r="M21" s="4">
        <f t="shared" si="3"/>
        <v>0.49362812101131748</v>
      </c>
      <c r="N21" s="4">
        <f t="shared" si="4"/>
        <v>8.544702774705879</v>
      </c>
    </row>
    <row r="22" spans="1:14">
      <c r="A22" s="4">
        <v>19</v>
      </c>
      <c r="B22" s="4">
        <v>2020</v>
      </c>
      <c r="C22" s="33">
        <v>180.18</v>
      </c>
      <c r="D22" s="33">
        <v>56.06</v>
      </c>
      <c r="E22" s="4">
        <f>6.12+4.06</f>
        <v>10.18</v>
      </c>
      <c r="F22" s="4">
        <f t="shared" si="0"/>
        <v>246.42000000000002</v>
      </c>
      <c r="G22" s="18">
        <v>321.51</v>
      </c>
      <c r="H22" s="12">
        <v>70.790000000000006</v>
      </c>
      <c r="I22" s="12">
        <v>392.3</v>
      </c>
      <c r="J22" s="4">
        <f t="shared" si="1"/>
        <v>145.88</v>
      </c>
      <c r="K22" s="4">
        <f>J22-J21</f>
        <v>-46.118333333333226</v>
      </c>
      <c r="L22" s="4">
        <f t="shared" si="2"/>
        <v>2.1068491759936743</v>
      </c>
      <c r="M22" s="4">
        <f t="shared" si="3"/>
        <v>0.47464242404934376</v>
      </c>
      <c r="N22" s="4">
        <f t="shared" si="4"/>
        <v>-21.889717526448933</v>
      </c>
    </row>
    <row r="23" spans="1:14">
      <c r="K23" s="8">
        <f>SUM(K3:K22)</f>
        <v>145.88</v>
      </c>
      <c r="N23" s="8">
        <f>SUM(N3:N22)</f>
        <v>103.31136379150728</v>
      </c>
    </row>
    <row r="24" spans="1:14">
      <c r="J24" s="2"/>
      <c r="K24" s="32">
        <f>K23-K3</f>
        <v>172.93999999999994</v>
      </c>
      <c r="L24" s="2"/>
      <c r="M24" s="2"/>
      <c r="N24" s="32">
        <f>N23-K3</f>
        <v>130.37136379150724</v>
      </c>
    </row>
    <row r="25" spans="1:14" ht="28.3">
      <c r="K25" s="34" t="s">
        <v>21</v>
      </c>
      <c r="L25" s="35"/>
      <c r="M25" s="35"/>
      <c r="N25" s="34" t="s">
        <v>22</v>
      </c>
    </row>
    <row r="27" spans="1:14" customFormat="1">
      <c r="A27" s="36" t="s">
        <v>24</v>
      </c>
      <c r="B27" s="36"/>
      <c r="C27" s="36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4">
      <c r="C28" s="4" t="s">
        <v>12</v>
      </c>
      <c r="D28" s="4" t="s">
        <v>8</v>
      </c>
      <c r="E28" s="4" t="s">
        <v>7</v>
      </c>
      <c r="F28" s="28" t="s">
        <v>0</v>
      </c>
      <c r="G28" s="18" t="s">
        <v>1</v>
      </c>
      <c r="H28" s="18" t="s">
        <v>14</v>
      </c>
      <c r="I28" s="18" t="s">
        <v>15</v>
      </c>
      <c r="J28" s="4" t="s">
        <v>2</v>
      </c>
      <c r="K28" s="4" t="s">
        <v>3</v>
      </c>
      <c r="L28" s="4" t="s">
        <v>4</v>
      </c>
      <c r="N28" s="4" t="s">
        <v>5</v>
      </c>
    </row>
    <row r="29" spans="1:14">
      <c r="C29" s="8">
        <v>44</v>
      </c>
      <c r="D29" s="8">
        <v>44</v>
      </c>
      <c r="E29" s="8">
        <v>44</v>
      </c>
      <c r="F29" s="28"/>
      <c r="G29" s="19">
        <v>51</v>
      </c>
      <c r="H29" s="19">
        <v>51</v>
      </c>
      <c r="I29" s="19">
        <v>51</v>
      </c>
    </row>
    <row r="30" spans="1:14">
      <c r="A30" s="4">
        <v>0</v>
      </c>
      <c r="B30" s="4">
        <v>2001</v>
      </c>
      <c r="C30" s="4">
        <v>250.44</v>
      </c>
      <c r="D30" s="4">
        <v>57.02</v>
      </c>
      <c r="E30" s="4">
        <v>0</v>
      </c>
      <c r="F30" s="28">
        <f>SUM(C30:E30)</f>
        <v>307.45999999999998</v>
      </c>
      <c r="G30" s="18">
        <v>221.77</v>
      </c>
      <c r="H30" s="12">
        <v>58.63</v>
      </c>
      <c r="I30" s="12">
        <v>280.40000000000003</v>
      </c>
      <c r="J30" s="4">
        <f>I30-F30</f>
        <v>-27.059999999999945</v>
      </c>
      <c r="K30" s="4">
        <f>J30</f>
        <v>-27.059999999999945</v>
      </c>
      <c r="L30" s="4">
        <f>(1+0.004)^A30</f>
        <v>1</v>
      </c>
      <c r="M30" s="4">
        <f>1/L30</f>
        <v>1</v>
      </c>
      <c r="N30" s="4">
        <f>K30/L30</f>
        <v>-27.059999999999945</v>
      </c>
    </row>
    <row r="31" spans="1:14">
      <c r="A31" s="4">
        <v>1</v>
      </c>
      <c r="B31" s="4">
        <v>2002</v>
      </c>
      <c r="C31" s="4">
        <v>164.2</v>
      </c>
      <c r="D31" s="4">
        <v>57.555000000000007</v>
      </c>
      <c r="E31" s="4">
        <v>6.12</v>
      </c>
      <c r="F31" s="28">
        <f t="shared" ref="F31:F48" si="11">SUM(C31:E31)</f>
        <v>227.875</v>
      </c>
      <c r="G31" s="18">
        <v>223.98000000000002</v>
      </c>
      <c r="H31" s="12">
        <v>62.45</v>
      </c>
      <c r="I31" s="12">
        <v>286.43</v>
      </c>
      <c r="J31" s="4">
        <f t="shared" ref="J31:J49" si="12">I31-F31</f>
        <v>58.555000000000007</v>
      </c>
      <c r="K31" s="4">
        <f>J31-J30</f>
        <v>85.614999999999952</v>
      </c>
      <c r="L31" s="4">
        <f t="shared" ref="L31:L34" si="13">(1+0.04)^A31</f>
        <v>1.04</v>
      </c>
      <c r="M31" s="4">
        <f t="shared" ref="M31:M49" si="14">1/L31</f>
        <v>0.96153846153846145</v>
      </c>
      <c r="N31" s="4">
        <f>K31/L31</f>
        <v>82.32211538461533</v>
      </c>
    </row>
    <row r="32" spans="1:14">
      <c r="A32" s="4">
        <v>2</v>
      </c>
      <c r="B32" s="4">
        <v>2003</v>
      </c>
      <c r="C32" s="4">
        <v>168.16</v>
      </c>
      <c r="D32" s="4">
        <v>58.09</v>
      </c>
      <c r="E32" s="4">
        <v>6.12</v>
      </c>
      <c r="F32" s="28">
        <f t="shared" si="11"/>
        <v>232.37</v>
      </c>
      <c r="G32" s="18">
        <v>226.19</v>
      </c>
      <c r="H32" s="12">
        <v>66.27</v>
      </c>
      <c r="I32" s="12">
        <v>292.45999999999998</v>
      </c>
      <c r="J32" s="4">
        <f t="shared" si="12"/>
        <v>60.089999999999975</v>
      </c>
      <c r="K32" s="4">
        <f>J32-J31</f>
        <v>1.5349999999999682</v>
      </c>
      <c r="L32" s="4">
        <f t="shared" si="13"/>
        <v>1.0816000000000001</v>
      </c>
      <c r="M32" s="4">
        <f t="shared" si="14"/>
        <v>0.92455621301775137</v>
      </c>
      <c r="N32" s="4">
        <f t="shared" ref="N32:N49" si="15">K32/L32</f>
        <v>1.4191937869822189</v>
      </c>
    </row>
    <row r="33" spans="1:14">
      <c r="A33" s="4">
        <v>3</v>
      </c>
      <c r="B33" s="4">
        <v>2004</v>
      </c>
      <c r="C33" s="4">
        <v>171.84166666666667</v>
      </c>
      <c r="D33" s="9">
        <v>57.871538461538464</v>
      </c>
      <c r="E33" s="4">
        <v>6.12</v>
      </c>
      <c r="F33" s="28">
        <f t="shared" si="11"/>
        <v>235.83320512820512</v>
      </c>
      <c r="G33" s="18">
        <v>229.14333333333332</v>
      </c>
      <c r="H33" s="12">
        <v>65.061538461538461</v>
      </c>
      <c r="I33" s="12">
        <v>294.20487179487179</v>
      </c>
      <c r="J33" s="4">
        <f t="shared" si="12"/>
        <v>58.37166666666667</v>
      </c>
      <c r="K33" s="4">
        <f t="shared" ref="K33:K48" si="16">J33-J32</f>
        <v>-1.7183333333333053</v>
      </c>
      <c r="L33" s="4">
        <f t="shared" si="13"/>
        <v>1.1248640000000001</v>
      </c>
      <c r="M33" s="4">
        <f t="shared" si="14"/>
        <v>0.88899635867091487</v>
      </c>
      <c r="N33" s="4">
        <f t="shared" si="15"/>
        <v>-1.5275920763161637</v>
      </c>
    </row>
    <row r="34" spans="1:14">
      <c r="A34" s="4">
        <v>4</v>
      </c>
      <c r="B34" s="4">
        <v>2005</v>
      </c>
      <c r="C34" s="4">
        <v>175.52333333333334</v>
      </c>
      <c r="D34" s="9">
        <v>57.653076923076924</v>
      </c>
      <c r="E34" s="4">
        <v>6.12</v>
      </c>
      <c r="F34" s="28">
        <f t="shared" si="11"/>
        <v>239.29641025641027</v>
      </c>
      <c r="G34" s="18">
        <v>232.09666666666664</v>
      </c>
      <c r="H34" s="12">
        <v>63.853076923076927</v>
      </c>
      <c r="I34" s="12">
        <v>295.94974358974355</v>
      </c>
      <c r="J34" s="4">
        <f t="shared" si="12"/>
        <v>56.653333333333279</v>
      </c>
      <c r="K34" s="4">
        <f t="shared" si="16"/>
        <v>-1.7183333333333906</v>
      </c>
      <c r="L34" s="4">
        <f t="shared" si="13"/>
        <v>1.1698585600000002</v>
      </c>
      <c r="M34" s="4">
        <f t="shared" si="14"/>
        <v>0.85480419102972571</v>
      </c>
      <c r="N34" s="4">
        <f t="shared" si="15"/>
        <v>-1.4688385349194608</v>
      </c>
    </row>
    <row r="35" spans="1:14">
      <c r="A35" s="4">
        <v>5</v>
      </c>
      <c r="B35" s="4">
        <v>2006</v>
      </c>
      <c r="C35" s="4">
        <v>179.20500000000001</v>
      </c>
      <c r="D35" s="9">
        <v>57.434615384615384</v>
      </c>
      <c r="E35" s="4">
        <v>6.12</v>
      </c>
      <c r="F35" s="28">
        <f t="shared" si="11"/>
        <v>242.75961538461542</v>
      </c>
      <c r="G35" s="18">
        <v>235.04999999999995</v>
      </c>
      <c r="H35" s="12">
        <v>62.644615384615392</v>
      </c>
      <c r="I35" s="12">
        <v>297.69461538461536</v>
      </c>
      <c r="J35" s="4">
        <f t="shared" si="12"/>
        <v>54.934999999999945</v>
      </c>
      <c r="K35" s="4">
        <f t="shared" si="16"/>
        <v>-1.7183333333333337</v>
      </c>
      <c r="L35" s="4">
        <f>(1+0.04)^A35</f>
        <v>1.2166529024000003</v>
      </c>
      <c r="M35" s="4">
        <f t="shared" si="14"/>
        <v>0.82192710675935154</v>
      </c>
      <c r="N35" s="4">
        <f t="shared" si="15"/>
        <v>-1.4123447451148194</v>
      </c>
    </row>
    <row r="36" spans="1:14">
      <c r="A36" s="4">
        <v>6</v>
      </c>
      <c r="B36" s="4">
        <v>2007</v>
      </c>
      <c r="C36" s="4">
        <v>182.88666666666668</v>
      </c>
      <c r="D36" s="9">
        <v>57.216153846153844</v>
      </c>
      <c r="E36" s="4">
        <v>6.12</v>
      </c>
      <c r="F36" s="28">
        <f t="shared" si="11"/>
        <v>246.22282051282053</v>
      </c>
      <c r="G36" s="18">
        <v>238.00333333333327</v>
      </c>
      <c r="H36" s="12">
        <v>61.436153846153857</v>
      </c>
      <c r="I36" s="12">
        <v>299.43948717948712</v>
      </c>
      <c r="J36" s="4">
        <f t="shared" si="12"/>
        <v>53.216666666666583</v>
      </c>
      <c r="K36" s="4">
        <f t="shared" si="16"/>
        <v>-1.7183333333333621</v>
      </c>
      <c r="L36" s="4">
        <f t="shared" ref="L36:L49" si="17">(1+0.04)^A36</f>
        <v>1.2653190184960004</v>
      </c>
      <c r="M36" s="4">
        <f t="shared" si="14"/>
        <v>0.79031452573014571</v>
      </c>
      <c r="N36" s="4">
        <f t="shared" si="15"/>
        <v>-1.3580237933796564</v>
      </c>
    </row>
    <row r="37" spans="1:14">
      <c r="A37" s="4">
        <v>7</v>
      </c>
      <c r="B37" s="4">
        <v>2008</v>
      </c>
      <c r="C37" s="4">
        <v>186.56833333333336</v>
      </c>
      <c r="D37" s="9">
        <v>56.997692307692304</v>
      </c>
      <c r="E37" s="4">
        <v>6.12</v>
      </c>
      <c r="F37" s="28">
        <f t="shared" si="11"/>
        <v>249.68602564102565</v>
      </c>
      <c r="G37" s="18">
        <v>240.95666666666659</v>
      </c>
      <c r="H37" s="12">
        <v>60.227692307692323</v>
      </c>
      <c r="I37" s="12">
        <v>301.18435897435893</v>
      </c>
      <c r="J37" s="4">
        <f t="shared" si="12"/>
        <v>51.498333333333278</v>
      </c>
      <c r="K37" s="4">
        <f t="shared" si="16"/>
        <v>-1.7183333333333053</v>
      </c>
      <c r="L37" s="4">
        <f t="shared" si="17"/>
        <v>1.3159317792358403</v>
      </c>
      <c r="M37" s="4">
        <f t="shared" si="14"/>
        <v>0.75991781320206331</v>
      </c>
      <c r="N37" s="4">
        <f t="shared" si="15"/>
        <v>-1.3057921090188573</v>
      </c>
    </row>
    <row r="38" spans="1:14">
      <c r="A38" s="4">
        <v>8</v>
      </c>
      <c r="B38" s="4">
        <v>2009</v>
      </c>
      <c r="C38" s="4">
        <v>190.25</v>
      </c>
      <c r="D38" s="9">
        <v>56.779230769230765</v>
      </c>
      <c r="E38" s="4">
        <v>6.12</v>
      </c>
      <c r="F38" s="28">
        <f t="shared" si="11"/>
        <v>253.14923076923077</v>
      </c>
      <c r="G38" s="18">
        <v>243.91</v>
      </c>
      <c r="H38" s="12">
        <v>59.019230769230788</v>
      </c>
      <c r="I38" s="12">
        <v>302.9292307692308</v>
      </c>
      <c r="J38" s="4">
        <f t="shared" si="12"/>
        <v>49.78000000000003</v>
      </c>
      <c r="K38" s="4">
        <f t="shared" si="16"/>
        <v>-1.7183333333332484</v>
      </c>
      <c r="L38" s="4">
        <f t="shared" si="17"/>
        <v>1.3685690504052741</v>
      </c>
      <c r="M38" s="4">
        <f t="shared" si="14"/>
        <v>0.73069020500198378</v>
      </c>
      <c r="N38" s="4">
        <f t="shared" si="15"/>
        <v>-1.2555693355950135</v>
      </c>
    </row>
    <row r="39" spans="1:14">
      <c r="A39" s="4">
        <v>9</v>
      </c>
      <c r="B39" s="4">
        <v>2010</v>
      </c>
      <c r="C39" s="4">
        <v>196.11857142857144</v>
      </c>
      <c r="D39" s="9">
        <v>56.560769230769225</v>
      </c>
      <c r="E39" s="4">
        <v>6.12</v>
      </c>
      <c r="F39" s="28">
        <f t="shared" si="11"/>
        <v>258.79934065934066</v>
      </c>
      <c r="G39" s="18">
        <v>252.86571428571429</v>
      </c>
      <c r="H39" s="12">
        <v>57.810769230769253</v>
      </c>
      <c r="I39" s="12">
        <v>310.67648351648353</v>
      </c>
      <c r="J39" s="4">
        <f t="shared" si="12"/>
        <v>51.877142857142871</v>
      </c>
      <c r="K39" s="4">
        <f t="shared" si="16"/>
        <v>2.0971428571428419</v>
      </c>
      <c r="L39" s="4">
        <f t="shared" si="17"/>
        <v>1.4233118124214852</v>
      </c>
      <c r="M39" s="4">
        <f t="shared" si="14"/>
        <v>0.70258673557883045</v>
      </c>
      <c r="N39" s="4">
        <f t="shared" si="15"/>
        <v>1.473424754042451</v>
      </c>
    </row>
    <row r="40" spans="1:14">
      <c r="A40" s="4">
        <v>10</v>
      </c>
      <c r="B40" s="4">
        <v>2011</v>
      </c>
      <c r="C40" s="4">
        <v>201.98714285714289</v>
      </c>
      <c r="D40" s="9">
        <v>56.342307692307685</v>
      </c>
      <c r="E40" s="4">
        <v>6.12</v>
      </c>
      <c r="F40" s="28">
        <f t="shared" si="11"/>
        <v>264.4494505494506</v>
      </c>
      <c r="G40" s="18">
        <v>261.82142857142856</v>
      </c>
      <c r="H40" s="12">
        <v>56.602307692307718</v>
      </c>
      <c r="I40" s="12">
        <v>318.42373626373626</v>
      </c>
      <c r="J40" s="4">
        <f t="shared" si="12"/>
        <v>53.974285714285656</v>
      </c>
      <c r="K40" s="4">
        <f t="shared" si="16"/>
        <v>2.097142857142785</v>
      </c>
      <c r="L40" s="4">
        <f t="shared" si="17"/>
        <v>1.4802442849183446</v>
      </c>
      <c r="M40" s="4">
        <f t="shared" si="14"/>
        <v>0.67556416882579851</v>
      </c>
      <c r="N40" s="4">
        <f t="shared" si="15"/>
        <v>1.4167545711946259</v>
      </c>
    </row>
    <row r="41" spans="1:14">
      <c r="A41" s="4">
        <v>11</v>
      </c>
      <c r="B41" s="4">
        <v>2012</v>
      </c>
      <c r="C41" s="4">
        <v>207.85571428571433</v>
      </c>
      <c r="D41" s="9">
        <v>56.123846153846145</v>
      </c>
      <c r="E41" s="4">
        <v>6.12</v>
      </c>
      <c r="F41" s="28">
        <f t="shared" si="11"/>
        <v>270.09956043956049</v>
      </c>
      <c r="G41" s="18">
        <v>270.77714285714285</v>
      </c>
      <c r="H41" s="12">
        <v>55.393846153846184</v>
      </c>
      <c r="I41" s="12">
        <v>326.17098901098905</v>
      </c>
      <c r="J41" s="4">
        <f t="shared" si="12"/>
        <v>56.071428571428555</v>
      </c>
      <c r="K41" s="4">
        <f t="shared" si="16"/>
        <v>2.0971428571428987</v>
      </c>
      <c r="L41" s="4">
        <f t="shared" si="17"/>
        <v>1.5394540563150783</v>
      </c>
      <c r="M41" s="4">
        <f t="shared" si="14"/>
        <v>0.6495809315632679</v>
      </c>
      <c r="N41" s="4">
        <f t="shared" si="15"/>
        <v>1.3622640107641373</v>
      </c>
    </row>
    <row r="42" spans="1:14">
      <c r="A42" s="4">
        <v>12</v>
      </c>
      <c r="B42" s="4">
        <v>2013</v>
      </c>
      <c r="C42" s="4">
        <v>213.72428571428577</v>
      </c>
      <c r="D42" s="9">
        <v>55.905384615384605</v>
      </c>
      <c r="E42" s="4">
        <v>6.12</v>
      </c>
      <c r="F42" s="28">
        <f t="shared" si="11"/>
        <v>275.74967032967038</v>
      </c>
      <c r="G42" s="18">
        <v>279.73285714285714</v>
      </c>
      <c r="H42" s="12">
        <v>54.185384615384649</v>
      </c>
      <c r="I42" s="12">
        <v>333.91824175824178</v>
      </c>
      <c r="J42" s="4">
        <f t="shared" si="12"/>
        <v>58.168571428571397</v>
      </c>
      <c r="K42" s="4">
        <f t="shared" si="16"/>
        <v>2.0971428571428419</v>
      </c>
      <c r="L42" s="4">
        <f t="shared" si="17"/>
        <v>1.6010322185676817</v>
      </c>
      <c r="M42" s="4">
        <f t="shared" si="14"/>
        <v>0.62459704958006512</v>
      </c>
      <c r="N42" s="4">
        <f t="shared" si="15"/>
        <v>1.3098692411193271</v>
      </c>
    </row>
    <row r="43" spans="1:14">
      <c r="A43" s="4">
        <v>13</v>
      </c>
      <c r="B43" s="4">
        <v>2014</v>
      </c>
      <c r="C43" s="4">
        <v>219.59285714285721</v>
      </c>
      <c r="D43" s="9">
        <v>55.686923076923065</v>
      </c>
      <c r="E43" s="4">
        <v>6.12</v>
      </c>
      <c r="F43" s="28">
        <f t="shared" si="11"/>
        <v>281.39978021978027</v>
      </c>
      <c r="G43" s="18">
        <v>288.68857142857144</v>
      </c>
      <c r="H43" s="12">
        <v>52.976923076923114</v>
      </c>
      <c r="I43" s="12">
        <v>341.66549450549456</v>
      </c>
      <c r="J43" s="4">
        <f t="shared" si="12"/>
        <v>60.265714285714296</v>
      </c>
      <c r="K43" s="4">
        <f t="shared" si="16"/>
        <v>2.0971428571428987</v>
      </c>
      <c r="L43" s="4">
        <f t="shared" si="17"/>
        <v>1.6650735073103891</v>
      </c>
      <c r="M43" s="4">
        <f t="shared" si="14"/>
        <v>0.600574086134678</v>
      </c>
      <c r="N43" s="4">
        <f t="shared" si="15"/>
        <v>1.2594896549224639</v>
      </c>
    </row>
    <row r="44" spans="1:14">
      <c r="A44" s="4">
        <v>14</v>
      </c>
      <c r="B44" s="4">
        <v>2015</v>
      </c>
      <c r="C44" s="4">
        <v>225.46142857142866</v>
      </c>
      <c r="D44" s="9">
        <v>55.468461538461526</v>
      </c>
      <c r="E44" s="4">
        <v>6.12</v>
      </c>
      <c r="F44" s="28">
        <f t="shared" si="11"/>
        <v>287.04989010989016</v>
      </c>
      <c r="G44" s="18">
        <v>297.64428571428573</v>
      </c>
      <c r="H44" s="12">
        <v>51.76846153846158</v>
      </c>
      <c r="I44" s="12">
        <v>349.41274725274729</v>
      </c>
      <c r="J44" s="4">
        <f t="shared" si="12"/>
        <v>62.362857142857138</v>
      </c>
      <c r="K44" s="4">
        <f t="shared" si="16"/>
        <v>2.0971428571428419</v>
      </c>
      <c r="L44" s="4">
        <f t="shared" si="17"/>
        <v>1.7316764476028046</v>
      </c>
      <c r="M44" s="4">
        <f t="shared" si="14"/>
        <v>0.57747508282180582</v>
      </c>
      <c r="N44" s="4">
        <f t="shared" si="15"/>
        <v>1.2110477451177211</v>
      </c>
    </row>
    <row r="45" spans="1:14">
      <c r="A45" s="4">
        <v>15</v>
      </c>
      <c r="B45" s="4">
        <v>2016</v>
      </c>
      <c r="C45" s="4">
        <v>231.33</v>
      </c>
      <c r="D45" s="4">
        <v>55.25</v>
      </c>
      <c r="E45" s="4">
        <v>6.12</v>
      </c>
      <c r="F45" s="28">
        <f t="shared" si="11"/>
        <v>292.70000000000005</v>
      </c>
      <c r="G45" s="18">
        <v>306.60000000000002</v>
      </c>
      <c r="H45" s="12">
        <v>50.56</v>
      </c>
      <c r="I45" s="12">
        <v>357.16</v>
      </c>
      <c r="J45" s="4">
        <f t="shared" si="12"/>
        <v>64.45999999999998</v>
      </c>
      <c r="K45" s="4">
        <f t="shared" si="16"/>
        <v>2.0971428571428419</v>
      </c>
      <c r="L45" s="4">
        <f t="shared" si="17"/>
        <v>1.8009435055069167</v>
      </c>
      <c r="M45" s="4">
        <f t="shared" si="14"/>
        <v>0.55526450271327477</v>
      </c>
      <c r="N45" s="4">
        <f t="shared" si="15"/>
        <v>1.1644689856901165</v>
      </c>
    </row>
    <row r="46" spans="1:14">
      <c r="A46" s="4">
        <v>16</v>
      </c>
      <c r="B46" s="4">
        <v>2017</v>
      </c>
      <c r="C46" s="4">
        <v>117.31</v>
      </c>
      <c r="D46" s="4">
        <v>55.452500000000001</v>
      </c>
      <c r="E46" s="4">
        <v>6.12</v>
      </c>
      <c r="F46" s="28">
        <f t="shared" si="11"/>
        <v>178.88249999999999</v>
      </c>
      <c r="G46" s="18">
        <v>310.32749999999999</v>
      </c>
      <c r="H46" s="12">
        <v>55.617500000000007</v>
      </c>
      <c r="I46" s="12">
        <v>365.94499999999999</v>
      </c>
      <c r="J46" s="4">
        <f t="shared" si="12"/>
        <v>187.0625</v>
      </c>
      <c r="K46" s="4">
        <f t="shared" si="16"/>
        <v>122.60250000000002</v>
      </c>
      <c r="L46" s="4">
        <f t="shared" si="17"/>
        <v>1.8729812457271937</v>
      </c>
      <c r="M46" s="4">
        <f t="shared" si="14"/>
        <v>0.53390817568584104</v>
      </c>
      <c r="N46" s="4">
        <f t="shared" si="15"/>
        <v>65.458477109523344</v>
      </c>
    </row>
    <row r="47" spans="1:14">
      <c r="A47" s="4">
        <v>17</v>
      </c>
      <c r="B47" s="4">
        <v>2018</v>
      </c>
      <c r="C47" s="4">
        <v>138.26666666666668</v>
      </c>
      <c r="D47" s="4">
        <v>55.655000000000001</v>
      </c>
      <c r="E47" s="4">
        <v>6.12</v>
      </c>
      <c r="F47" s="28">
        <f t="shared" si="11"/>
        <v>200.04166666666669</v>
      </c>
      <c r="G47" s="18">
        <v>314.05499999999995</v>
      </c>
      <c r="H47" s="12">
        <v>60.675000000000011</v>
      </c>
      <c r="I47" s="12">
        <v>374.72999999999996</v>
      </c>
      <c r="J47" s="4">
        <f t="shared" si="12"/>
        <v>174.68833333333328</v>
      </c>
      <c r="K47" s="4">
        <f t="shared" si="16"/>
        <v>-12.374166666666724</v>
      </c>
      <c r="L47" s="4">
        <f t="shared" si="17"/>
        <v>1.9479004955562815</v>
      </c>
      <c r="M47" s="4">
        <f t="shared" si="14"/>
        <v>0.51337324585177024</v>
      </c>
      <c r="N47" s="4">
        <f t="shared" si="15"/>
        <v>-6.3525661063774761</v>
      </c>
    </row>
    <row r="48" spans="1:14">
      <c r="A48" s="4">
        <v>18</v>
      </c>
      <c r="B48" s="4">
        <v>2019</v>
      </c>
      <c r="C48" s="4">
        <v>125.47916666666669</v>
      </c>
      <c r="D48" s="4">
        <v>55.857500000000002</v>
      </c>
      <c r="E48" s="4">
        <v>10.18</v>
      </c>
      <c r="F48" s="28">
        <f t="shared" si="11"/>
        <v>191.51666666666671</v>
      </c>
      <c r="G48" s="18">
        <v>317.78249999999991</v>
      </c>
      <c r="H48" s="12">
        <v>65.732500000000016</v>
      </c>
      <c r="I48" s="12">
        <v>383.51499999999993</v>
      </c>
      <c r="J48" s="4">
        <f t="shared" si="12"/>
        <v>191.99833333333322</v>
      </c>
      <c r="K48" s="4">
        <f t="shared" si="16"/>
        <v>17.309999999999945</v>
      </c>
      <c r="L48" s="4">
        <f t="shared" si="17"/>
        <v>2.025816515378533</v>
      </c>
      <c r="M48" s="4">
        <f t="shared" si="14"/>
        <v>0.49362812101131748</v>
      </c>
      <c r="N48" s="4">
        <f t="shared" si="15"/>
        <v>8.544702774705879</v>
      </c>
    </row>
    <row r="49" spans="1:14">
      <c r="A49" s="4">
        <v>19</v>
      </c>
      <c r="B49" s="4">
        <v>2020</v>
      </c>
      <c r="E49" s="4">
        <v>10.18</v>
      </c>
      <c r="F49" s="28">
        <f>10.72+216.58</f>
        <v>227.3</v>
      </c>
      <c r="G49" s="18">
        <v>321.51</v>
      </c>
      <c r="H49" s="12">
        <v>70.790000000000006</v>
      </c>
      <c r="I49" s="12">
        <v>392.3</v>
      </c>
      <c r="J49" s="4">
        <f t="shared" si="12"/>
        <v>165</v>
      </c>
      <c r="K49" s="4">
        <f>J49-J48</f>
        <v>-26.998333333333221</v>
      </c>
      <c r="L49" s="4">
        <f t="shared" si="17"/>
        <v>2.1068491759936743</v>
      </c>
      <c r="M49" s="4">
        <f t="shared" si="14"/>
        <v>0.47464242404934376</v>
      </c>
      <c r="N49" s="4">
        <f t="shared" si="15"/>
        <v>-12.814554378625479</v>
      </c>
    </row>
    <row r="50" spans="1:14">
      <c r="K50" s="8">
        <f>SUM(K30:K49)</f>
        <v>165</v>
      </c>
      <c r="N50" s="8">
        <f>SUM(N30:N49)</f>
        <v>112.38652693933074</v>
      </c>
    </row>
    <row r="51" spans="1:14">
      <c r="J51" s="2"/>
      <c r="K51" s="32">
        <f>K50-K30</f>
        <v>192.05999999999995</v>
      </c>
      <c r="L51" s="2"/>
      <c r="M51" s="2"/>
      <c r="N51" s="32">
        <f>N50-K30</f>
        <v>139.44652693933068</v>
      </c>
    </row>
    <row r="52" spans="1:14">
      <c r="N52" s="8">
        <f>N50-N30</f>
        <v>139.44652693933068</v>
      </c>
    </row>
    <row r="53" spans="1:14" ht="28.3">
      <c r="K53" s="34" t="s">
        <v>21</v>
      </c>
      <c r="L53" s="35"/>
      <c r="M53" s="35"/>
      <c r="N53" s="34" t="s">
        <v>22</v>
      </c>
    </row>
  </sheetData>
  <mergeCells count="1">
    <mergeCell ref="A27:C27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"/>
  <sheetViews>
    <sheetView workbookViewId="0">
      <selection activeCell="F32" sqref="F32"/>
    </sheetView>
  </sheetViews>
  <sheetFormatPr defaultRowHeight="14.15"/>
  <cols>
    <col min="1" max="1" width="3" bestFit="1" customWidth="1"/>
    <col min="2" max="2" width="5" bestFit="1" customWidth="1"/>
    <col min="3" max="3" width="17.28515625" bestFit="1" customWidth="1"/>
    <col min="4" max="4" width="21.42578125" bestFit="1" customWidth="1"/>
    <col min="5" max="5" width="16.42578125" bestFit="1" customWidth="1"/>
    <col min="6" max="6" width="14.42578125" bestFit="1" customWidth="1"/>
    <col min="7" max="7" width="17.85546875" bestFit="1" customWidth="1"/>
    <col min="8" max="8" width="27.85546875" bestFit="1" customWidth="1"/>
  </cols>
  <sheetData>
    <row r="1" spans="1:8" ht="56.6">
      <c r="A1" s="21"/>
      <c r="B1" s="21"/>
      <c r="C1" s="26" t="s">
        <v>17</v>
      </c>
      <c r="D1" s="26" t="s">
        <v>18</v>
      </c>
      <c r="E1" s="27" t="s">
        <v>19</v>
      </c>
      <c r="F1" s="27" t="s">
        <v>3</v>
      </c>
      <c r="G1" s="27" t="s">
        <v>4</v>
      </c>
      <c r="H1" s="27" t="s">
        <v>5</v>
      </c>
    </row>
    <row r="2" spans="1:8">
      <c r="A2" s="21"/>
      <c r="B2" s="21" t="s">
        <v>16</v>
      </c>
      <c r="C2" s="21">
        <v>40</v>
      </c>
      <c r="D2" s="21">
        <v>51</v>
      </c>
      <c r="E2" s="21"/>
      <c r="F2" s="21"/>
      <c r="G2" s="21"/>
      <c r="H2" s="21"/>
    </row>
    <row r="3" spans="1:8">
      <c r="A3" s="21">
        <v>0</v>
      </c>
      <c r="B3" s="21">
        <v>2001</v>
      </c>
      <c r="C3" s="22">
        <v>307.45999999999998</v>
      </c>
      <c r="D3" s="22">
        <v>280.40000000000003</v>
      </c>
      <c r="E3" s="22">
        <f>D3-C3</f>
        <v>-27.059999999999945</v>
      </c>
      <c r="F3" s="23">
        <v>-27.06</v>
      </c>
      <c r="G3" s="22">
        <v>1</v>
      </c>
      <c r="H3" s="22">
        <f>F3/G3</f>
        <v>-27.06</v>
      </c>
    </row>
    <row r="4" spans="1:8">
      <c r="A4" s="21">
        <v>1</v>
      </c>
      <c r="B4" s="21">
        <v>2002</v>
      </c>
      <c r="C4" s="22">
        <v>227.875</v>
      </c>
      <c r="D4" s="22">
        <v>286.43</v>
      </c>
      <c r="E4" s="22">
        <f t="shared" ref="E4:E22" si="0">D4-C4</f>
        <v>58.555000000000007</v>
      </c>
      <c r="F4" s="22">
        <f>E4-E3</f>
        <v>85.614999999999952</v>
      </c>
      <c r="G4" s="22">
        <v>1.04</v>
      </c>
      <c r="H4" s="22">
        <f t="shared" ref="H4:H22" si="1">F4/G4</f>
        <v>82.32211538461533</v>
      </c>
    </row>
    <row r="5" spans="1:8">
      <c r="A5" s="21">
        <v>2</v>
      </c>
      <c r="B5" s="21">
        <v>2003</v>
      </c>
      <c r="C5" s="22">
        <v>232.37</v>
      </c>
      <c r="D5" s="22">
        <v>292.45999999999998</v>
      </c>
      <c r="E5" s="22">
        <f t="shared" si="0"/>
        <v>60.089999999999975</v>
      </c>
      <c r="F5" s="22">
        <f t="shared" ref="F5:F22" si="2">E5-E4</f>
        <v>1.5349999999999682</v>
      </c>
      <c r="G5" s="22">
        <v>1.0816000000000001</v>
      </c>
      <c r="H5" s="22">
        <f t="shared" si="1"/>
        <v>1.4191937869822189</v>
      </c>
    </row>
    <row r="6" spans="1:8">
      <c r="A6" s="21">
        <v>3</v>
      </c>
      <c r="B6" s="21">
        <v>2004</v>
      </c>
      <c r="C6" s="22">
        <v>235.83320512820512</v>
      </c>
      <c r="D6" s="22">
        <v>294.20487179487179</v>
      </c>
      <c r="E6" s="22">
        <f t="shared" si="0"/>
        <v>58.37166666666667</v>
      </c>
      <c r="F6" s="22">
        <f t="shared" si="2"/>
        <v>-1.7183333333333053</v>
      </c>
      <c r="G6" s="22">
        <v>1.1248640000000001</v>
      </c>
      <c r="H6" s="22">
        <f t="shared" si="1"/>
        <v>-1.5275920763161637</v>
      </c>
    </row>
    <row r="7" spans="1:8">
      <c r="A7" s="21">
        <v>4</v>
      </c>
      <c r="B7" s="21">
        <v>2005</v>
      </c>
      <c r="C7" s="22">
        <v>239.29641025641027</v>
      </c>
      <c r="D7" s="22">
        <v>295.94974358974355</v>
      </c>
      <c r="E7" s="22">
        <f t="shared" si="0"/>
        <v>56.653333333333279</v>
      </c>
      <c r="F7" s="22">
        <f t="shared" si="2"/>
        <v>-1.7183333333333906</v>
      </c>
      <c r="G7" s="22">
        <v>1.1698585600000002</v>
      </c>
      <c r="H7" s="22">
        <f t="shared" si="1"/>
        <v>-1.4688385349194608</v>
      </c>
    </row>
    <row r="8" spans="1:8">
      <c r="A8" s="21">
        <v>5</v>
      </c>
      <c r="B8" s="21">
        <v>2006</v>
      </c>
      <c r="C8" s="22">
        <v>242.75961538461542</v>
      </c>
      <c r="D8" s="22">
        <v>297.69461538461536</v>
      </c>
      <c r="E8" s="22">
        <f t="shared" si="0"/>
        <v>54.934999999999945</v>
      </c>
      <c r="F8" s="22">
        <f t="shared" si="2"/>
        <v>-1.7183333333333337</v>
      </c>
      <c r="G8" s="22">
        <v>1.2166529024000003</v>
      </c>
      <c r="H8" s="22">
        <f t="shared" si="1"/>
        <v>-1.4123447451148194</v>
      </c>
    </row>
    <row r="9" spans="1:8">
      <c r="A9" s="21">
        <v>6</v>
      </c>
      <c r="B9" s="21">
        <v>2007</v>
      </c>
      <c r="C9" s="22">
        <v>246.22282051282053</v>
      </c>
      <c r="D9" s="22">
        <v>299.43948717948712</v>
      </c>
      <c r="E9" s="22">
        <f t="shared" si="0"/>
        <v>53.216666666666583</v>
      </c>
      <c r="F9" s="22">
        <f t="shared" si="2"/>
        <v>-1.7183333333333621</v>
      </c>
      <c r="G9" s="22">
        <v>1.2653190184960004</v>
      </c>
      <c r="H9" s="22">
        <f t="shared" si="1"/>
        <v>-1.3580237933796564</v>
      </c>
    </row>
    <row r="10" spans="1:8">
      <c r="A10" s="21">
        <v>7</v>
      </c>
      <c r="B10" s="21">
        <v>2008</v>
      </c>
      <c r="C10" s="22">
        <v>249.68602564102565</v>
      </c>
      <c r="D10" s="22">
        <v>301.18435897435893</v>
      </c>
      <c r="E10" s="22">
        <f t="shared" si="0"/>
        <v>51.498333333333278</v>
      </c>
      <c r="F10" s="22">
        <f t="shared" si="2"/>
        <v>-1.7183333333333053</v>
      </c>
      <c r="G10" s="22">
        <v>1.3159317792358403</v>
      </c>
      <c r="H10" s="22">
        <f t="shared" si="1"/>
        <v>-1.3057921090188573</v>
      </c>
    </row>
    <row r="11" spans="1:8">
      <c r="A11" s="21">
        <v>8</v>
      </c>
      <c r="B11" s="21">
        <v>2009</v>
      </c>
      <c r="C11" s="22">
        <v>253.14923076923077</v>
      </c>
      <c r="D11" s="22">
        <v>302.9292307692308</v>
      </c>
      <c r="E11" s="22">
        <f t="shared" si="0"/>
        <v>49.78000000000003</v>
      </c>
      <c r="F11" s="22">
        <f t="shared" si="2"/>
        <v>-1.7183333333332484</v>
      </c>
      <c r="G11" s="22">
        <v>1.3685690504052741</v>
      </c>
      <c r="H11" s="22">
        <f t="shared" si="1"/>
        <v>-1.2555693355950135</v>
      </c>
    </row>
    <row r="12" spans="1:8">
      <c r="A12" s="21">
        <v>9</v>
      </c>
      <c r="B12" s="21">
        <v>2010</v>
      </c>
      <c r="C12" s="22">
        <v>258.79934065934066</v>
      </c>
      <c r="D12" s="22">
        <v>310.67648351648353</v>
      </c>
      <c r="E12" s="22">
        <f t="shared" si="0"/>
        <v>51.877142857142871</v>
      </c>
      <c r="F12" s="22">
        <f t="shared" si="2"/>
        <v>2.0971428571428419</v>
      </c>
      <c r="G12" s="22">
        <v>1.4233118124214852</v>
      </c>
      <c r="H12" s="22">
        <f t="shared" si="1"/>
        <v>1.473424754042451</v>
      </c>
    </row>
    <row r="13" spans="1:8">
      <c r="A13" s="21">
        <v>10</v>
      </c>
      <c r="B13" s="21">
        <v>2011</v>
      </c>
      <c r="C13" s="22">
        <v>264.4494505494506</v>
      </c>
      <c r="D13" s="22">
        <v>318.42373626373626</v>
      </c>
      <c r="E13" s="22">
        <f t="shared" si="0"/>
        <v>53.974285714285656</v>
      </c>
      <c r="F13" s="22">
        <f t="shared" si="2"/>
        <v>2.097142857142785</v>
      </c>
      <c r="G13" s="22">
        <v>1.4802442849183446</v>
      </c>
      <c r="H13" s="22">
        <f t="shared" si="1"/>
        <v>1.4167545711946259</v>
      </c>
    </row>
    <row r="14" spans="1:8">
      <c r="A14" s="21">
        <v>11</v>
      </c>
      <c r="B14" s="21">
        <v>2012</v>
      </c>
      <c r="C14" s="22">
        <v>270.09956043956049</v>
      </c>
      <c r="D14" s="22">
        <v>326.17098901098905</v>
      </c>
      <c r="E14" s="22">
        <f t="shared" si="0"/>
        <v>56.071428571428555</v>
      </c>
      <c r="F14" s="22">
        <f t="shared" si="2"/>
        <v>2.0971428571428987</v>
      </c>
      <c r="G14" s="22">
        <v>1.5394540563150783</v>
      </c>
      <c r="H14" s="22">
        <f t="shared" si="1"/>
        <v>1.3622640107641373</v>
      </c>
    </row>
    <row r="15" spans="1:8">
      <c r="A15" s="21">
        <v>12</v>
      </c>
      <c r="B15" s="21">
        <v>2013</v>
      </c>
      <c r="C15" s="22">
        <v>275.74967032967038</v>
      </c>
      <c r="D15" s="22">
        <v>333.91824175824178</v>
      </c>
      <c r="E15" s="22">
        <f t="shared" si="0"/>
        <v>58.168571428571397</v>
      </c>
      <c r="F15" s="22">
        <f t="shared" si="2"/>
        <v>2.0971428571428419</v>
      </c>
      <c r="G15" s="22">
        <v>1.6010322185676817</v>
      </c>
      <c r="H15" s="22">
        <f t="shared" si="1"/>
        <v>1.3098692411193271</v>
      </c>
    </row>
    <row r="16" spans="1:8">
      <c r="A16" s="21">
        <v>13</v>
      </c>
      <c r="B16" s="21">
        <v>2014</v>
      </c>
      <c r="C16" s="22">
        <v>281.39978021978027</v>
      </c>
      <c r="D16" s="22">
        <v>341.66549450549456</v>
      </c>
      <c r="E16" s="22">
        <f t="shared" si="0"/>
        <v>60.265714285714296</v>
      </c>
      <c r="F16" s="22">
        <f t="shared" si="2"/>
        <v>2.0971428571428987</v>
      </c>
      <c r="G16" s="22">
        <v>1.6650735073103891</v>
      </c>
      <c r="H16" s="22">
        <f t="shared" si="1"/>
        <v>1.2594896549224639</v>
      </c>
    </row>
    <row r="17" spans="1:8">
      <c r="A17" s="21">
        <v>14</v>
      </c>
      <c r="B17" s="21">
        <v>2015</v>
      </c>
      <c r="C17" s="22">
        <v>287.04989010989016</v>
      </c>
      <c r="D17" s="22">
        <v>349.41274725274729</v>
      </c>
      <c r="E17" s="22">
        <f t="shared" si="0"/>
        <v>62.362857142857138</v>
      </c>
      <c r="F17" s="22">
        <f t="shared" si="2"/>
        <v>2.0971428571428419</v>
      </c>
      <c r="G17" s="22">
        <v>1.7316764476028046</v>
      </c>
      <c r="H17" s="22">
        <f t="shared" si="1"/>
        <v>1.2110477451177211</v>
      </c>
    </row>
    <row r="18" spans="1:8">
      <c r="A18" s="21">
        <v>15</v>
      </c>
      <c r="B18" s="21">
        <v>2016</v>
      </c>
      <c r="C18" s="22">
        <v>292.70000000000005</v>
      </c>
      <c r="D18" s="22">
        <v>357.16</v>
      </c>
      <c r="E18" s="22">
        <f t="shared" si="0"/>
        <v>64.45999999999998</v>
      </c>
      <c r="F18" s="22">
        <f t="shared" si="2"/>
        <v>2.0971428571428419</v>
      </c>
      <c r="G18" s="22">
        <v>1.8009435055069167</v>
      </c>
      <c r="H18" s="22">
        <f t="shared" si="1"/>
        <v>1.1644689856901165</v>
      </c>
    </row>
    <row r="19" spans="1:8">
      <c r="A19" s="21">
        <v>16</v>
      </c>
      <c r="B19" s="21">
        <v>2017</v>
      </c>
      <c r="C19" s="22">
        <v>178.88249999999999</v>
      </c>
      <c r="D19" s="22">
        <v>365.94499999999999</v>
      </c>
      <c r="E19" s="22">
        <f t="shared" si="0"/>
        <v>187.0625</v>
      </c>
      <c r="F19" s="22">
        <f t="shared" si="2"/>
        <v>122.60250000000002</v>
      </c>
      <c r="G19" s="22">
        <v>1.8729812457271937</v>
      </c>
      <c r="H19" s="22">
        <f t="shared" si="1"/>
        <v>65.458477109523344</v>
      </c>
    </row>
    <row r="20" spans="1:8">
      <c r="A20" s="21">
        <v>17</v>
      </c>
      <c r="B20" s="21">
        <v>2018</v>
      </c>
      <c r="C20" s="22">
        <v>200.04166666666669</v>
      </c>
      <c r="D20" s="22">
        <v>374.72999999999996</v>
      </c>
      <c r="E20" s="22">
        <f t="shared" si="0"/>
        <v>174.68833333333328</v>
      </c>
      <c r="F20" s="22">
        <f t="shared" si="2"/>
        <v>-12.374166666666724</v>
      </c>
      <c r="G20" s="22">
        <v>1.9479004955562815</v>
      </c>
      <c r="H20" s="22">
        <f t="shared" si="1"/>
        <v>-6.3525661063774761</v>
      </c>
    </row>
    <row r="21" spans="1:8">
      <c r="A21" s="21">
        <v>18</v>
      </c>
      <c r="B21" s="21">
        <v>2019</v>
      </c>
      <c r="C21" s="22">
        <v>191.51666666666671</v>
      </c>
      <c r="D21" s="22">
        <v>383.51499999999993</v>
      </c>
      <c r="E21" s="22">
        <f t="shared" si="0"/>
        <v>191.99833333333322</v>
      </c>
      <c r="F21" s="22">
        <f t="shared" si="2"/>
        <v>17.309999999999945</v>
      </c>
      <c r="G21" s="22">
        <v>2.025816515378533</v>
      </c>
      <c r="H21" s="22">
        <f t="shared" si="1"/>
        <v>8.544702774705879</v>
      </c>
    </row>
    <row r="22" spans="1:8">
      <c r="A22" s="21">
        <v>19</v>
      </c>
      <c r="B22" s="21">
        <v>2020</v>
      </c>
      <c r="C22" s="22">
        <v>246.42000000000002</v>
      </c>
      <c r="D22" s="22">
        <v>392.3</v>
      </c>
      <c r="E22" s="22">
        <f t="shared" si="0"/>
        <v>145.88</v>
      </c>
      <c r="F22" s="22">
        <f t="shared" si="2"/>
        <v>-46.118333333333226</v>
      </c>
      <c r="G22" s="22">
        <v>2.1068491759936743</v>
      </c>
      <c r="H22" s="22">
        <f t="shared" si="1"/>
        <v>-21.889717526448933</v>
      </c>
    </row>
    <row r="23" spans="1:8">
      <c r="A23" s="4"/>
      <c r="B23" s="4"/>
      <c r="C23" s="24"/>
      <c r="D23" s="24"/>
      <c r="E23" s="24"/>
      <c r="F23" s="25">
        <f>SUM(F3:F22)</f>
        <v>145.87999999999994</v>
      </c>
      <c r="G23" s="24"/>
      <c r="H23" s="25">
        <f>SUM(H3:H22)</f>
        <v>103.31136379150722</v>
      </c>
    </row>
    <row r="24" spans="1:8">
      <c r="F24" s="37">
        <f>F23-F3</f>
        <v>172.93999999999994</v>
      </c>
      <c r="G24" s="2"/>
      <c r="H24" s="38">
        <f>H23-F3</f>
        <v>130.37136379150721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Control(WithWF)</vt:lpstr>
      <vt:lpstr>Burn</vt:lpstr>
      <vt:lpstr>Mech</vt:lpstr>
      <vt:lpstr>MechBurn</vt:lpstr>
      <vt:lpstr>TableS5-CalculationExample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2025-07-07T00:17:47Z</dcterms:modified>
</cp:coreProperties>
</file>