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yinwang/Desktop/SMU/Fall_Mod_A/Managerial Statistics/Experiential Learning/"/>
    </mc:Choice>
  </mc:AlternateContent>
  <xr:revisionPtr revIDLastSave="0" documentId="13_ncr:1_{35559C1D-6BB9-6846-A82B-3DA1AE59B91F}" xr6:coauthVersionLast="47" xr6:coauthVersionMax="47" xr10:uidLastSave="{00000000-0000-0000-0000-000000000000}"/>
  <bookViews>
    <workbookView xWindow="800" yWindow="500" windowWidth="24780" windowHeight="15840" tabRatio="500" activeTab="1" xr2:uid="{00000000-000D-0000-FFFF-FFFF00000000}"/>
  </bookViews>
  <sheets>
    <sheet name="Front Page" sheetId="1" r:id="rId1"/>
    <sheet name="Ownership and Purchase Intent" sheetId="2" r:id="rId2"/>
    <sheet name="Reasons for Purchase" sheetId="3" r:id="rId3"/>
    <sheet name="Purchase Influences" sheetId="4" r:id="rId4"/>
    <sheet name="Mattress Outlet Type" sheetId="5" r:id="rId5"/>
    <sheet name="Store vs Online Purchase" sheetId="6" r:id="rId6"/>
    <sheet name="Purchase Factors" sheetId="7" r:id="rId7"/>
  </sheets>
  <definedNames>
    <definedName name="_xlchart.v1.2" hidden="1">'Purchase Influences'!$A$7:$A$16</definedName>
    <definedName name="_xlchart.v1.3" hidden="1">'Purchase Influences'!$B$7:$B$16</definedName>
    <definedName name="_xlchart.v1.4" hidden="1">'Purchase Factors'!$A$7:$A$19</definedName>
    <definedName name="_xlchart.v1.5" hidden="1">'Purchase Factors'!$B$7:$B$19</definedName>
    <definedName name="_xlchart.v1.6" hidden="1">'Purchase Factors'!$A$7:$A$19</definedName>
    <definedName name="_xlchart.v1.7" hidden="1">'Purchase Factors'!$B$7:$B$19</definedName>
    <definedName name="_xlchart.v1.8" hidden="1">'Purchase Factors'!$A$7:$A$19</definedName>
    <definedName name="_xlchart.v1.9" hidden="1">'Purchase Factors'!$B$7:$B$19</definedName>
    <definedName name="_xlchart.v2.0" hidden="1">'Purchase Influences'!$A$7:$A$16</definedName>
    <definedName name="_xlchart.v2.1" hidden="1">'Purchase Influences'!$B$7:$B$16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7" l="1"/>
  <c r="B20" i="5"/>
  <c r="B21" i="5"/>
  <c r="B22" i="5"/>
  <c r="B23" i="5"/>
  <c r="B24" i="5"/>
  <c r="B25" i="5"/>
  <c r="B26" i="5"/>
  <c r="B27" i="5"/>
  <c r="B28" i="5"/>
  <c r="B29" i="5"/>
  <c r="B16" i="5"/>
  <c r="J28" i="2"/>
  <c r="J27" i="2"/>
  <c r="J22" i="2"/>
  <c r="K22" i="2"/>
  <c r="J23" i="2"/>
  <c r="K23" i="2"/>
  <c r="J24" i="2"/>
  <c r="K24" i="2"/>
  <c r="J25" i="2"/>
  <c r="K25" i="2"/>
  <c r="K21" i="2"/>
  <c r="J21" i="2"/>
  <c r="K19" i="2"/>
  <c r="K18" i="2"/>
  <c r="K17" i="2"/>
  <c r="K16" i="2"/>
  <c r="K15" i="2"/>
  <c r="J18" i="2"/>
  <c r="J15" i="2"/>
  <c r="J17" i="2"/>
  <c r="J19" i="2"/>
  <c r="J16" i="2"/>
  <c r="C8" i="2"/>
  <c r="J8" i="2"/>
  <c r="C9" i="2"/>
  <c r="J9" i="2"/>
  <c r="C10" i="2"/>
  <c r="J10" i="2"/>
  <c r="C11" i="2"/>
  <c r="J11" i="2"/>
  <c r="C12" i="2"/>
  <c r="J12" i="2"/>
  <c r="J13" i="2"/>
  <c r="D8" i="2"/>
  <c r="K8" i="2"/>
  <c r="D9" i="2"/>
  <c r="K9" i="2"/>
  <c r="D10" i="2"/>
  <c r="K10" i="2"/>
  <c r="D11" i="2"/>
  <c r="K11" i="2"/>
  <c r="D12" i="2"/>
  <c r="K12" i="2"/>
  <c r="K13" i="2"/>
  <c r="E8" i="2"/>
  <c r="L8" i="2"/>
  <c r="E9" i="2"/>
  <c r="L9" i="2"/>
  <c r="E10" i="2"/>
  <c r="L10" i="2"/>
  <c r="E11" i="2"/>
  <c r="L11" i="2"/>
  <c r="E12" i="2"/>
  <c r="L12" i="2"/>
  <c r="L13" i="2"/>
  <c r="B8" i="2"/>
  <c r="I8" i="2"/>
  <c r="B9" i="2"/>
  <c r="I9" i="2"/>
  <c r="B10" i="2"/>
  <c r="I10" i="2"/>
  <c r="B11" i="2"/>
  <c r="I11" i="2"/>
  <c r="B12" i="2"/>
  <c r="I12" i="2"/>
  <c r="I13" i="2"/>
  <c r="F8" i="2"/>
  <c r="M8" i="2"/>
  <c r="F9" i="2"/>
  <c r="M9" i="2"/>
  <c r="F10" i="2"/>
  <c r="M10" i="2"/>
  <c r="F11" i="2"/>
  <c r="M11" i="2"/>
  <c r="F12" i="2"/>
  <c r="M12" i="2"/>
  <c r="B13" i="2"/>
  <c r="D13" i="2"/>
  <c r="C13" i="2"/>
  <c r="E13" i="2"/>
  <c r="B7" i="7"/>
  <c r="B8" i="7"/>
  <c r="B9" i="7"/>
  <c r="B10" i="7"/>
  <c r="B11" i="7"/>
  <c r="B12" i="7"/>
  <c r="B13" i="7"/>
  <c r="B14" i="7"/>
  <c r="B15" i="7"/>
  <c r="B16" i="7"/>
  <c r="B17" i="7"/>
  <c r="B18" i="7"/>
  <c r="B9" i="6"/>
  <c r="B8" i="6"/>
  <c r="B7" i="6"/>
  <c r="B15" i="5"/>
  <c r="B14" i="5"/>
  <c r="B13" i="5"/>
  <c r="B12" i="5"/>
  <c r="B11" i="5"/>
  <c r="B10" i="5"/>
  <c r="B9" i="5"/>
  <c r="B8" i="5"/>
  <c r="B7" i="5"/>
  <c r="B16" i="4"/>
  <c r="B15" i="4"/>
  <c r="B14" i="4"/>
  <c r="B13" i="4"/>
  <c r="B12" i="4"/>
  <c r="B11" i="4"/>
  <c r="B10" i="4"/>
  <c r="B9" i="4"/>
  <c r="B8" i="4"/>
  <c r="B7" i="4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<sst xmlns="http://schemas.openxmlformats.org/spreadsheetml/2006/main" count="116" uniqueCount="98">
  <si>
    <t>Mattress ownership and purchase intention</t>
  </si>
  <si>
    <t>Reasons for purchase</t>
  </si>
  <si>
    <t>Mattress Industry Report</t>
  </si>
  <si>
    <t>Data</t>
  </si>
  <si>
    <t>"What are the main reasons you purchased your last mattress or are planning to purchase a new mattress in the next year? Please select all that apply."</t>
  </si>
  <si>
    <t>Sample: 1,500 internet users aged 21+</t>
  </si>
  <si>
    <t>Date: June 2017</t>
  </si>
  <si>
    <t>n: 947 internet users aged 21+ who purchased a mattress in last five years or who plan to purchase next year</t>
  </si>
  <si>
    <t>Report definition</t>
  </si>
  <si>
    <t>This Report examines the US retail market for mattresses. The market includes mattresses sold through retail outlets and direct to consumers including:</t>
  </si>
  <si>
    <t>Replace worn out mattress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</si>
  <si>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Innerspring</t>
    </r>
  </si>
  <si>
    <r>
      <t>●</t>
    </r>
    <r>
      <rPr>
        <sz val="7"/>
        <rFont val="Times New Roman"/>
        <family val="1"/>
      </rPr>
      <t xml:space="preserve">              </t>
    </r>
    <r>
      <rPr>
        <sz val="10"/>
        <rFont val="Verdana"/>
        <family val="2"/>
      </rPr>
      <t>Foam [Memory Foam and Latex]</t>
    </r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</si>
  <si>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Hybrid [Foam and Coil Spring Combination]</t>
    </r>
  </si>
  <si>
    <t>Back to Front Page</t>
  </si>
  <si>
    <t>"Do you currently own or intend to purchase any of the following mattress types in the next year?"</t>
  </si>
  <si>
    <t>Table of Contents</t>
  </si>
  <si>
    <t>Ownership and purchase interest</t>
  </si>
  <si>
    <t>To get a better quality mattress</t>
  </si>
  <si>
    <t>Want a different type of mattress</t>
  </si>
  <si>
    <t>Having trouble sleeping</t>
  </si>
  <si>
    <t>Sale or special offer</t>
  </si>
  <si>
    <t>Moving to a new home</t>
  </si>
  <si>
    <t>To get a different size mattress</t>
  </si>
  <si>
    <t>Purchase Influences</t>
  </si>
  <si>
    <t>Base: 1,500 internet users aged 21+</t>
  </si>
  <si>
    <t>Mattress Outlet Type</t>
  </si>
  <si>
    <t>Current ownership (all)</t>
  </si>
  <si>
    <t>Other</t>
  </si>
  <si>
    <t>Store vs Online Purchase</t>
  </si>
  <si>
    <t>Purchase Attributes</t>
  </si>
  <si>
    <t>Currently own but did not purchase in the past five years</t>
  </si>
  <si>
    <t>Currently own and purchased in the past five years</t>
  </si>
  <si>
    <t>Intend to purchase in the next year</t>
  </si>
  <si>
    <t>Do not own or intend to purchase</t>
  </si>
  <si>
    <t>Innerspring mattress</t>
  </si>
  <si>
    <t>Foam mattress [e.g., memory foam, latex]</t>
  </si>
  <si>
    <t>Futon</t>
  </si>
  <si>
    <t>Hybrid mattress [foam and coil spring combination]</t>
  </si>
  <si>
    <t>Water bed</t>
  </si>
  <si>
    <t>Note: current ownership (all) includes mattresses currently owned, whether or not they were purchased within the past five years</t>
  </si>
  <si>
    <t>"Where do you get information about mattresses and mattress purchasing?"</t>
  </si>
  <si>
    <t>"What type of outlet did you make your most recent mattress purchase from?"</t>
  </si>
  <si>
    <t>n: 819 internet users aged 21+ who purchased a mattress in last five years</t>
  </si>
  <si>
    <t>In-store</t>
  </si>
  <si>
    <t>Mattress specialty store [e.g., Mattress Firm, Sleep Experts]</t>
  </si>
  <si>
    <t>Friends/family</t>
  </si>
  <si>
    <t>Online retailer [e.g., Casper, Purple, Leesa]</t>
  </si>
  <si>
    <t>Online mattress reviews</t>
  </si>
  <si>
    <t>Mattress manufacturer websites</t>
  </si>
  <si>
    <t>Advertisements</t>
  </si>
  <si>
    <t>Consumer Reports</t>
  </si>
  <si>
    <t>Economy furniture store [e.g., Ashley Furniture, Rooms To Go]</t>
  </si>
  <si>
    <t>Department store [e.g., Macy's, JCPenney, Sears]</t>
  </si>
  <si>
    <t>Home furniture magazine</t>
  </si>
  <si>
    <t>Discount &amp; warehouse club stores [e.g., Walmart, Costco, Sam's Club]</t>
  </si>
  <si>
    <t>Manufacturer [e.g., Sleep Number, Tempur-Pedic]</t>
  </si>
  <si>
    <t>IKEA</t>
  </si>
  <si>
    <t>Premium furniture store [e.g., Crate &amp; Barrel, Room and Board]</t>
  </si>
  <si>
    <t>Store vs online purchase</t>
  </si>
  <si>
    <t>"Did you make your most recent mattress purchase from a store or online?"</t>
  </si>
  <si>
    <t>n: 819 internet users aged 18+ who purchased a mattress in last five years</t>
  </si>
  <si>
    <t>Online</t>
  </si>
  <si>
    <t>Purchase factors</t>
  </si>
  <si>
    <t>"Which of the following factors were very important when you made your most recent mattress purchase?"</t>
  </si>
  <si>
    <t>Price</t>
  </si>
  <si>
    <t>Comfort</t>
  </si>
  <si>
    <t>Quality</t>
  </si>
  <si>
    <t>Durability</t>
  </si>
  <si>
    <t>Pressure relief</t>
  </si>
  <si>
    <t>Support</t>
  </si>
  <si>
    <t>Brand reputation</t>
  </si>
  <si>
    <t>Warranty</t>
  </si>
  <si>
    <t>Materials</t>
  </si>
  <si>
    <t>Online reviews</t>
  </si>
  <si>
    <t>Hypoallergenic</t>
  </si>
  <si>
    <t>H1: There is a shift in customer who currently owns mattress's attitide regarding mattress types in five years</t>
  </si>
  <si>
    <t>H0:There is no shift in customer who currently owns mattress's attitude regarding mattress types in five years</t>
  </si>
  <si>
    <t>Total</t>
  </si>
  <si>
    <t>Expcted</t>
  </si>
  <si>
    <t>Mattress specialty store</t>
  </si>
  <si>
    <t>Online retailer</t>
  </si>
  <si>
    <t xml:space="preserve">Economy furniture store </t>
  </si>
  <si>
    <t xml:space="preserve">Department store </t>
  </si>
  <si>
    <t xml:space="preserve">Discount &amp; warehouse club stores </t>
  </si>
  <si>
    <t>Manufacturer</t>
  </si>
  <si>
    <t xml:space="preserve">Premium furniture store </t>
  </si>
  <si>
    <t>Mattress type</t>
  </si>
  <si>
    <t xml:space="preserve">Temperature regulation </t>
  </si>
  <si>
    <t>Foam mattress</t>
  </si>
  <si>
    <t xml:space="preserve">Hybrid mattress </t>
  </si>
  <si>
    <t xml:space="preserve">Need an additional mattress </t>
  </si>
  <si>
    <t>To get a mattress with advanced features</t>
  </si>
  <si>
    <t xml:space="preserve">Changing needs of people living in my household </t>
  </si>
  <si>
    <t xml:space="preserve">A major life event </t>
  </si>
  <si>
    <t xml:space="preserve">Medical specialist </t>
  </si>
  <si>
    <t xml:space="preserve">Television networks </t>
  </si>
  <si>
    <t xml:space="preserve">Retailer catalogs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</si>
</sst>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"/>
  </numFmts>
  <fonts count="18" x14ac:knownFonts="1">
    <font>
      <sz val="11"/>
      <color rgb="FF000000"/>
      <name val="Calibri"/>
    </font>
    <font>
      <b/>
      <sz val="14"/>
      <name val="Calibri"/>
      <family val="2"/>
    </font>
    <font>
      <sz val="11"/>
      <name val="Calibri"/>
      <family val="2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i/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7"/>
      <name val="Times New Roman"/>
      <family val="1"/>
    </font>
    <font>
      <sz val="10"/>
      <name val="Verdana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2" fillId="2" borderId="2" xfId="0" applyFont="1" applyFill="1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 wrapText="1"/>
    </xf>
    <xf numFmtId="0" fontId="13" fillId="0" borderId="0" xfId="0" applyFont="1"/>
    <xf numFmtId="3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6" fillId="0" borderId="1" xfId="1" applyBorder="1"/>
    <xf numFmtId="3" fontId="16" fillId="0" borderId="1" xfId="1" applyNumberFormat="1" applyBorder="1"/>
    <xf numFmtId="164" fontId="0" fillId="0" borderId="0" xfId="0" applyNumberFormat="1"/>
    <xf numFmtId="4" fontId="2" fillId="0" borderId="10" xfId="0" applyNumberFormat="1" applyFont="1" applyBorder="1" applyAlignment="1">
      <alignment horizontal="center" vertical="center"/>
    </xf>
    <xf numFmtId="0" fontId="17" fillId="0" borderId="0" xfId="0" applyFont="1"/>
    <xf numFmtId="0" fontId="0" fillId="0" borderId="11" xfId="0" applyBorder="1"/>
    <xf numFmtId="3" fontId="10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1" fillId="0" borderId="2" xfId="0" applyFont="1" applyBorder="1"/>
    <xf numFmtId="0" fontId="12" fillId="0" borderId="2" xfId="0" applyFon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/>
    <xf numFmtId="0" fontId="12" fillId="0" borderId="14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0" fillId="0" borderId="0" xfId="0" applyNumberFormat="1"/>
    <xf numFmtId="0" fontId="17" fillId="0" borderId="4" xfId="0" applyFont="1" applyBorder="1"/>
    <xf numFmtId="3" fontId="7" fillId="0" borderId="5" xfId="0" applyNumberFormat="1" applyFont="1" applyBorder="1" applyAlignment="1">
      <alignment horizontal="left" vertical="center" wrapText="1"/>
    </xf>
    <xf numFmtId="0" fontId="11" fillId="0" borderId="6" xfId="0" applyFont="1" applyBorder="1"/>
    <xf numFmtId="0" fontId="11" fillId="0" borderId="7" xfId="0" applyFont="1" applyBorder="1"/>
    <xf numFmtId="3" fontId="7" fillId="0" borderId="3" xfId="0" applyNumberFormat="1" applyFont="1" applyBorder="1" applyAlignment="1">
      <alignment horizontal="left" vertical="center" wrapText="1"/>
    </xf>
    <xf numFmtId="0" fontId="0" fillId="0" borderId="0" xfId="0"/>
    <xf numFmtId="0" fontId="9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Mattress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'Ownership and Purchase Intent'!$B$7</c:f>
              <c:strCache>
                <c:ptCount val="1"/>
                <c:pt idx="0">
                  <c:v>Current ownership (all)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8-5148-8ADF-FC87C30543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8-5148-8ADF-FC87C30543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78-5148-8ADF-FC87C30543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78-5148-8ADF-FC87C30543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78-5148-8ADF-FC87C30543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'Ownership and Purchase Intent'!$A$8:$A$12</c:f>
              <c:strCache>
                <c:ptCount val="5"/>
                <c:pt idx="0">
                  <c:v>Innerspring mattress</c:v>
                </c:pt>
                <c:pt idx="1">
                  <c:v>Foam mattress</c:v>
                </c:pt>
                <c:pt idx="2">
                  <c:v>Futon</c:v>
                </c:pt>
                <c:pt idx="3">
                  <c:v>Hybrid mattress </c:v>
                </c:pt>
                <c:pt idx="4">
                  <c:v>Water bed</c:v>
                </c:pt>
              </c:strCache>
            </c:strRef>
          </c:cat>
          <c:val>
            <c:numRef>
              <c:f>'Ownership and Purchase Intent'!$B$8:$B$12</c:f>
              <c:numCache>
                <c:formatCode>0.0%</c:formatCode>
                <c:ptCount val="5"/>
                <c:pt idx="0">
                  <c:v>0.46600000000000003</c:v>
                </c:pt>
                <c:pt idx="1">
                  <c:v>0.27466666666666667</c:v>
                </c:pt>
                <c:pt idx="2">
                  <c:v>0.192</c:v>
                </c:pt>
                <c:pt idx="3">
                  <c:v>0.23599999999999999</c:v>
                </c:pt>
                <c:pt idx="4">
                  <c:v>6.7333333333333328E-2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014D-B826-2FC7ADEABA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'Reasons for Purchase'!$A$7:$A$18</c:f>
              <c:strCache>
                <c:ptCount val="12"/>
                <c:pt idx="0">
                  <c:v>Replace worn out mattress</c:v>
                </c:pt>
                <c:pt idx="1">
                  <c:v>To get a better quality mattress</c:v>
                </c:pt>
                <c:pt idx="2">
                  <c:v>Want a different type of mattress</c:v>
                </c:pt>
                <c:pt idx="3">
                  <c:v>Having trouble sleeping</c:v>
                </c:pt>
                <c:pt idx="4">
                  <c:v>Sale or special offer</c:v>
                </c:pt>
                <c:pt idx="5">
                  <c:v>Moving to a new home</c:v>
                </c:pt>
                <c:pt idx="6">
                  <c:v>To get a different size mattress</c:v>
                </c:pt>
                <c:pt idx="7">
                  <c:v>Need an additional mattress </c:v>
                </c:pt>
                <c:pt idx="8">
                  <c:v>To get a mattress with advanced features</c:v>
                </c:pt>
                <c:pt idx="9">
                  <c:v>Changing needs of people living in my household </c:v>
                </c:pt>
                <c:pt idx="10">
                  <c:v>A major life event </c:v>
                </c:pt>
                <c:pt idx="11">
                  <c:v>Other</c:v>
                </c:pt>
              </c:strCache>
            </c:strRef>
          </c:cat>
          <c:val>
            <c:numRef>
              <c:f>'Reasons for Purchase'!$B$7:$B$18</c:f>
              <c:numCache>
                <c:formatCode>0.0%</c:formatCode>
                <c:ptCount val="12"/>
                <c:pt idx="0">
                  <c:v>0.5121436114044351</c:v>
                </c:pt>
                <c:pt idx="1">
                  <c:v>0.43717001055966209</c:v>
                </c:pt>
                <c:pt idx="2">
                  <c:v>0.21330517423442449</c:v>
                </c:pt>
                <c:pt idx="3">
                  <c:v>0.21119324181626187</c:v>
                </c:pt>
                <c:pt idx="4">
                  <c:v>0.20485744456177402</c:v>
                </c:pt>
                <c:pt idx="5">
                  <c:v>0.18901795142555439</c:v>
                </c:pt>
                <c:pt idx="6">
                  <c:v>0.1573389651531151</c:v>
                </c:pt>
                <c:pt idx="7">
                  <c:v>0.12777191129883844</c:v>
                </c:pt>
                <c:pt idx="8">
                  <c:v>0.1235480464625132</c:v>
                </c:pt>
                <c:pt idx="9">
                  <c:v>0.1003167898627244</c:v>
                </c:pt>
                <c:pt idx="10">
                  <c:v>7.4973600844772961E-2</c:v>
                </c:pt>
                <c:pt idx="11">
                  <c:v>1.7951425554382259E-2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2-C845-9EAE-C8CCC426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796143"/>
        <c:axId val="1181772144"/>
      </c:barChart>
      <c:catAx>
        <c:axId val="169379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72144"/>
        <c:crosses val="autoZero"/>
        <c:auto val="1"/>
        <c:lblAlgn val="ctr"/>
        <c:lblOffset val="100"/>
        <c:noMultiLvlLbl val="0"/>
      </c:catAx>
      <c:valAx>
        <c:axId val="11817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9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  <a:r>
              <a:rPr lang="en-US" baseline="0"/>
              <a:t> for Mattress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1-364B-9BF5-2FC59DD0C4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B1-364B-9BF5-2FC59DD0C49F}"/>
              </c:ext>
            </c:extLst>
          </c:dPt>
          <c:cat>
            <c:strRef>
              <c:f>'Reasons for Purchase'!$A$7:$A$18</c:f>
              <c:strCache>
                <c:ptCount val="12"/>
                <c:pt idx="0">
                  <c:v>Replace worn out mattress</c:v>
                </c:pt>
                <c:pt idx="1">
                  <c:v>To get a better quality mattress</c:v>
                </c:pt>
                <c:pt idx="2">
                  <c:v>Want a different type of mattress</c:v>
                </c:pt>
                <c:pt idx="3">
                  <c:v>Having trouble sleeping</c:v>
                </c:pt>
                <c:pt idx="4">
                  <c:v>Sale or special offer</c:v>
                </c:pt>
                <c:pt idx="5">
                  <c:v>Moving to a new home</c:v>
                </c:pt>
                <c:pt idx="6">
                  <c:v>To get a different size mattress</c:v>
                </c:pt>
                <c:pt idx="7">
                  <c:v>Need an additional mattress </c:v>
                </c:pt>
                <c:pt idx="8">
                  <c:v>To get a mattress with advanced features</c:v>
                </c:pt>
                <c:pt idx="9">
                  <c:v>Changing needs of people living in my household </c:v>
                </c:pt>
                <c:pt idx="10">
                  <c:v>A major life event </c:v>
                </c:pt>
                <c:pt idx="11">
                  <c:v>Other</c:v>
                </c:pt>
              </c:strCache>
            </c:strRef>
          </c:cat>
          <c:val>
            <c:numRef>
              <c:f>'Reasons for Purchase'!$B$7:$B$18</c:f>
              <c:numCache>
                <c:formatCode>0.0%</c:formatCode>
                <c:ptCount val="12"/>
                <c:pt idx="0">
                  <c:v>0.5121436114044351</c:v>
                </c:pt>
                <c:pt idx="1">
                  <c:v>0.43717001055966209</c:v>
                </c:pt>
                <c:pt idx="2">
                  <c:v>0.21330517423442449</c:v>
                </c:pt>
                <c:pt idx="3">
                  <c:v>0.21119324181626187</c:v>
                </c:pt>
                <c:pt idx="4">
                  <c:v>0.20485744456177402</c:v>
                </c:pt>
                <c:pt idx="5">
                  <c:v>0.18901795142555439</c:v>
                </c:pt>
                <c:pt idx="6">
                  <c:v>0.1573389651531151</c:v>
                </c:pt>
                <c:pt idx="7">
                  <c:v>0.12777191129883844</c:v>
                </c:pt>
                <c:pt idx="8">
                  <c:v>0.1235480464625132</c:v>
                </c:pt>
                <c:pt idx="9">
                  <c:v>0.1003167898627244</c:v>
                </c:pt>
                <c:pt idx="10">
                  <c:v>7.4973600844772961E-2</c:v>
                </c:pt>
                <c:pt idx="11">
                  <c:v>1.7951425554382259E-2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1-364B-9BF5-2FC59DD0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273216"/>
        <c:axId val="1654132800"/>
      </c:barChart>
      <c:catAx>
        <c:axId val="16542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32800"/>
        <c:crosses val="autoZero"/>
        <c:auto val="1"/>
        <c:lblAlgn val="ctr"/>
        <c:lblOffset val="100"/>
        <c:noMultiLvlLbl val="0"/>
      </c:catAx>
      <c:valAx>
        <c:axId val="1654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E-D84E-869E-7E75BADA11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E-D84E-869E-7E75BADA11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E-D84E-869E-7E75BADA11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CE-D84E-869E-7E75BADA1184}"/>
              </c:ext>
            </c:extLst>
          </c:dPt>
          <c:cat>
            <c:strRef>
              <c:f>'Purchase Influences'!$A$7:$A$16</c:f>
              <c:strCache>
                <c:ptCount val="10"/>
                <c:pt idx="0">
                  <c:v>In-store</c:v>
                </c:pt>
                <c:pt idx="1">
                  <c:v>Friends/family</c:v>
                </c:pt>
                <c:pt idx="2">
                  <c:v>Online mattress reviews</c:v>
                </c:pt>
                <c:pt idx="3">
                  <c:v>Mattress manufacturer websites</c:v>
                </c:pt>
                <c:pt idx="4">
                  <c:v>Advertisements</c:v>
                </c:pt>
                <c:pt idx="5">
                  <c:v>Consumer Reports</c:v>
                </c:pt>
                <c:pt idx="6">
                  <c:v>Retailer catalogs </c:v>
                </c:pt>
                <c:pt idx="7">
                  <c:v>Home furniture magazine</c:v>
                </c:pt>
                <c:pt idx="8">
                  <c:v>Television networks </c:v>
                </c:pt>
                <c:pt idx="9">
                  <c:v>Medical specialist </c:v>
                </c:pt>
              </c:strCache>
            </c:strRef>
          </c:cat>
          <c:val>
            <c:numRef>
              <c:f>'Purchase Influences'!$B$7:$B$16</c:f>
              <c:numCache>
                <c:formatCode>0.0%</c:formatCode>
                <c:ptCount val="10"/>
                <c:pt idx="0">
                  <c:v>0.48046462513199578</c:v>
                </c:pt>
                <c:pt idx="1">
                  <c:v>0.37381203801478352</c:v>
                </c:pt>
                <c:pt idx="2">
                  <c:v>0.35797254487856389</c:v>
                </c:pt>
                <c:pt idx="3">
                  <c:v>0.34530095036958819</c:v>
                </c:pt>
                <c:pt idx="4">
                  <c:v>0.23125659978880675</c:v>
                </c:pt>
                <c:pt idx="5">
                  <c:v>0.22069693769799367</c:v>
                </c:pt>
                <c:pt idx="6">
                  <c:v>0.13621964097148892</c:v>
                </c:pt>
                <c:pt idx="7">
                  <c:v>9.6092925026399156E-2</c:v>
                </c:pt>
                <c:pt idx="8">
                  <c:v>9.0813093980992604E-2</c:v>
                </c:pt>
                <c:pt idx="9">
                  <c:v>8.0253431890179514E-2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E-D84E-869E-7E75BADA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52927"/>
        <c:axId val="1851188448"/>
      </c:barChart>
      <c:catAx>
        <c:axId val="23175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88448"/>
        <c:crosses val="autoZero"/>
        <c:auto val="1"/>
        <c:lblAlgn val="ctr"/>
        <c:lblOffset val="100"/>
        <c:noMultiLvlLbl val="0"/>
      </c:catAx>
      <c:valAx>
        <c:axId val="18511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5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Mattress</a:t>
            </a:r>
            <a:r>
              <a:rPr lang="en-US" baseline="0"/>
              <a:t> Outlet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00-ED4B-B3D6-4B73B09A7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900-ED4B-B3D6-4B73B09A7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00-ED4B-B3D6-4B73B09A7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900-ED4B-B3D6-4B73B09A7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00-ED4B-B3D6-4B73B09A7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900-ED4B-B3D6-4B73B09A7F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00-ED4B-B3D6-4B73B09A7F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900-ED4B-B3D6-4B73B09A7F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00-ED4B-B3D6-4B73B09A7F2F}"/>
              </c:ext>
            </c:extLst>
          </c:dPt>
          <c:dLbls>
            <c:dLbl>
              <c:idx val="0"/>
              <c:layout>
                <c:manualLayout>
                  <c:x val="1.0392381119957771E-3"/>
                  <c:y val="3.89175278871391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00-ED4B-B3D6-4B73B09A7F2F}"/>
                </c:ext>
              </c:extLst>
            </c:dLbl>
            <c:dLbl>
              <c:idx val="1"/>
              <c:layout>
                <c:manualLayout>
                  <c:x val="1.910775817827241E-2"/>
                  <c:y val="-8.90409694881889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00-ED4B-B3D6-4B73B09A7F2F}"/>
                </c:ext>
              </c:extLst>
            </c:dLbl>
            <c:dLbl>
              <c:idx val="2"/>
              <c:layout>
                <c:manualLayout>
                  <c:x val="0.1257843956656256"/>
                  <c:y val="-2.39062500000001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0-ED4B-B3D6-4B73B09A7F2F}"/>
                </c:ext>
              </c:extLst>
            </c:dLbl>
            <c:dLbl>
              <c:idx val="3"/>
              <c:layout>
                <c:manualLayout>
                  <c:x val="2.3265297145119431E-2"/>
                  <c:y val="-1.7395833333333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00-ED4B-B3D6-4B73B09A7F2F}"/>
                </c:ext>
              </c:extLst>
            </c:dLbl>
            <c:dLbl>
              <c:idx val="4"/>
              <c:layout>
                <c:manualLayout>
                  <c:x val="1.272452675259168E-2"/>
                  <c:y val="-6.209809711286089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00-ED4B-B3D6-4B73B09A7F2F}"/>
                </c:ext>
              </c:extLst>
            </c:dLbl>
            <c:dLbl>
              <c:idx val="5"/>
              <c:layout>
                <c:manualLayout>
                  <c:x val="-2.9052478775348613E-3"/>
                  <c:y val="1.064694061679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00-ED4B-B3D6-4B73B09A7F2F}"/>
                </c:ext>
              </c:extLst>
            </c:dLbl>
            <c:dLbl>
              <c:idx val="6"/>
              <c:layout>
                <c:manualLayout>
                  <c:x val="-2.1346647311544158E-2"/>
                  <c:y val="3.03233677821522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00-ED4B-B3D6-4B73B09A7F2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900-ED4B-B3D6-4B73B09A7F2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900-ED4B-B3D6-4B73B09A7F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'Mattress Outlet Type'!$A$7:$A$15</c:f>
              <c:strCache>
                <c:ptCount val="9"/>
                <c:pt idx="0">
                  <c:v>Mattress specialty store</c:v>
                </c:pt>
                <c:pt idx="1">
                  <c:v>Online retailer</c:v>
                </c:pt>
                <c:pt idx="2">
                  <c:v>Economy furniture store </c:v>
                </c:pt>
                <c:pt idx="3">
                  <c:v>Department store </c:v>
                </c:pt>
                <c:pt idx="4">
                  <c:v>Discount &amp; warehouse club stores </c:v>
                </c:pt>
                <c:pt idx="5">
                  <c:v>Manufacturer</c:v>
                </c:pt>
                <c:pt idx="6">
                  <c:v>IKEA</c:v>
                </c:pt>
                <c:pt idx="7">
                  <c:v>Premium furniture store </c:v>
                </c:pt>
                <c:pt idx="8">
                  <c:v>Other</c:v>
                </c:pt>
              </c:strCache>
            </c:strRef>
          </c:cat>
          <c:val>
            <c:numRef>
              <c:f>'Mattress Outlet Type'!$B$7:$B$15</c:f>
              <c:numCache>
                <c:formatCode>0.0%</c:formatCode>
                <c:ptCount val="9"/>
                <c:pt idx="0">
                  <c:v>0.24053724053724054</c:v>
                </c:pt>
                <c:pt idx="1">
                  <c:v>0.18437118437118438</c:v>
                </c:pt>
                <c:pt idx="2">
                  <c:v>0.10989010989010989</c:v>
                </c:pt>
                <c:pt idx="3">
                  <c:v>0.10256410256410256</c:v>
                </c:pt>
                <c:pt idx="4">
                  <c:v>0.10134310134310134</c:v>
                </c:pt>
                <c:pt idx="5">
                  <c:v>7.448107448107448E-2</c:v>
                </c:pt>
                <c:pt idx="6">
                  <c:v>5.7387057387057384E-2</c:v>
                </c:pt>
                <c:pt idx="7">
                  <c:v>4.7619047619047616E-2</c:v>
                </c:pt>
                <c:pt idx="8">
                  <c:v>8.1807081807081808E-2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0-ED4B-B3D6-4B73B09A7F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Recent Mattress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C1-8945-9757-AC76380BC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C1-8945-9757-AC76380BC1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C1-8945-9757-AC76380BC1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'Store vs Online Purchase'!$A$7:$A$9</c:f>
              <c:strCache>
                <c:ptCount val="3"/>
                <c:pt idx="0">
                  <c:v>In-store</c:v>
                </c:pt>
                <c:pt idx="1">
                  <c:v>Online</c:v>
                </c:pt>
                <c:pt idx="2">
                  <c:v>Other</c:v>
                </c:pt>
              </c:strCache>
            </c:strRef>
          </c:cat>
          <c:val>
            <c:numRef>
              <c:f>'Store vs Online Purchase'!$B$7:$B$9</c:f>
              <c:numCache>
                <c:formatCode>0.0%</c:formatCode>
                <c:ptCount val="3"/>
                <c:pt idx="0">
                  <c:v>0.73382173382173377</c:v>
                </c:pt>
                <c:pt idx="1">
                  <c:v>0.21489621489621491</c:v>
                </c:pt>
                <c:pt idx="2">
                  <c:v>5.128205128205128E-2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4-284C-8C66-9BFB9490FB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28565179352582"/>
          <c:y val="0.39899132400116655"/>
          <c:w val="0.12371434820647419"/>
          <c:h val="0.2343088363954505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'Purchase Factors'!$A$7:$A$19</c:f>
              <c:strCache>
                <c:ptCount val="13"/>
                <c:pt idx="0">
                  <c:v>Hypoallergenic</c:v>
                </c:pt>
                <c:pt idx="1">
                  <c:v>Online reviews</c:v>
                </c:pt>
                <c:pt idx="2">
                  <c:v>Temperature regulation </c:v>
                </c:pt>
                <c:pt idx="3">
                  <c:v>Materials</c:v>
                </c:pt>
                <c:pt idx="4">
                  <c:v>Warranty</c:v>
                </c:pt>
                <c:pt idx="5">
                  <c:v>Brand reputation</c:v>
                </c:pt>
                <c:pt idx="6">
                  <c:v>Mattress type</c:v>
                </c:pt>
                <c:pt idx="7">
                  <c:v>Support</c:v>
                </c:pt>
                <c:pt idx="8">
                  <c:v>Pressure relief</c:v>
                </c:pt>
                <c:pt idx="9">
                  <c:v>Durability</c:v>
                </c:pt>
                <c:pt idx="10">
                  <c:v>Quality</c:v>
                </c:pt>
                <c:pt idx="11">
                  <c:v>Comfort</c:v>
                </c:pt>
                <c:pt idx="12">
                  <c:v>Price</c:v>
                </c:pt>
              </c:strCache>
            </c:strRef>
          </c:cat>
          <c:val>
            <c:numRef>
              <c:f>'Purchase Factors'!$B$7:$B$19</c:f>
              <c:numCache>
                <c:formatCode>0.0%</c:formatCode>
                <c:ptCount val="13"/>
                <c:pt idx="0">
                  <c:v>0.13553113553113552</c:v>
                </c:pt>
                <c:pt idx="1">
                  <c:v>0.21245421245421245</c:v>
                </c:pt>
                <c:pt idx="2">
                  <c:v>0.22466422466422467</c:v>
                </c:pt>
                <c:pt idx="3">
                  <c:v>0.22832722832722832</c:v>
                </c:pt>
                <c:pt idx="4">
                  <c:v>0.28205128205128205</c:v>
                </c:pt>
                <c:pt idx="5">
                  <c:v>0.29914529914529914</c:v>
                </c:pt>
                <c:pt idx="6">
                  <c:v>0.3321123321123321</c:v>
                </c:pt>
                <c:pt idx="7">
                  <c:v>0.40293040293040294</c:v>
                </c:pt>
                <c:pt idx="8">
                  <c:v>0.45665445665445664</c:v>
                </c:pt>
                <c:pt idx="9">
                  <c:v>0.55555555555555558</c:v>
                </c:pt>
                <c:pt idx="10">
                  <c:v>0.59584859584859584</c:v>
                </c:pt>
                <c:pt idx="11">
                  <c:v>0.61904761904761907</c:v>
                </c:pt>
                <c:pt idx="12">
                  <c:v>0.71794871794871795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F-2E4E-9AF6-CD7F42D1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98856639"/>
        <c:axId val="1299113871"/>
      </c:barChart>
      <c:catAx>
        <c:axId val="129885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13871"/>
        <c:crosses val="autoZero"/>
        <c:auto val="1"/>
        <c:lblAlgn val="ctr"/>
        <c:lblOffset val="100"/>
        <c:noMultiLvlLbl val="0"/>
      </c:catAx>
      <c:valAx>
        <c:axId val="12991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F65CDF2E-5B27-7249-B684-7DA1ADEC5B8C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500" b="1" i="0" baseline="0"/>
                </a:pPr>
                <a:endParaRPr lang="en-US" sz="15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  </cx:separator>
            <cx:dataLabel idx="1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15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Price       71.8%</a:t>
                  </a:r>
                </a:p>
              </cx:txPr>
              <cx:visibility seriesName="0" categoryName="1" value="1"/>
              <cx:separator>       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15</xdr:row>
      <xdr:rowOff>19050</xdr:rowOff>
    </xdr:from>
    <xdr:to>
      <xdr:col>1</xdr:col>
      <xdr:colOff>711200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46C78-4484-6CEB-1AB6-B85A4D1F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25400</xdr:rowOff>
    </xdr:from>
    <xdr:to>
      <xdr:col>11</xdr:col>
      <xdr:colOff>273050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52049-D2EA-75BA-E38B-5998310E8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2012950</xdr:colOff>
      <xdr:row>20</xdr:row>
      <xdr:rowOff>63500</xdr:rowOff>
    </xdr:from>
    <xdr:to>
      <xdr:col>3</xdr:col>
      <xdr:colOff>596900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10553-C00E-BFF7-8A0C-89CD366AD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8</xdr:row>
      <xdr:rowOff>88900</xdr:rowOff>
    </xdr:from>
    <xdr:to>
      <xdr:col>10</xdr:col>
      <xdr:colOff>298450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E7563-33D6-BDAC-66E2-85267393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</xdr:row>
      <xdr:rowOff>50800</xdr:rowOff>
    </xdr:from>
    <xdr:to>
      <xdr:col>13</xdr:col>
      <xdr:colOff>304800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D1EAE-E772-5803-9984-77920C137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482600</xdr:colOff>
      <xdr:row>18</xdr:row>
      <xdr:rowOff>139700</xdr:rowOff>
    </xdr:from>
    <xdr:to>
      <xdr:col>12</xdr:col>
      <xdr:colOff>546100</xdr:colOff>
      <xdr:row>22</xdr:row>
      <xdr:rowOff>63500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C16F3C8-2307-F686-9321-4908E6DCFF72}"/>
            </a:ext>
          </a:extLst>
        </xdr:cNvPr>
        <xdr:cNvSpPr/>
      </xdr:nvSpPr>
      <xdr:spPr>
        <a:xfrm>
          <a:off x="11036300" y="3340100"/>
          <a:ext cx="1384300" cy="635000"/>
        </a:xfrm>
        <a:prstGeom prst="rect">
          <a:avLst/>
        </a:prstGeom>
        <a:noFill/>
        <a:ln w="38100" cap="rnd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12</xdr:row>
      <xdr:rowOff>19050</xdr:rowOff>
    </xdr:from>
    <xdr:to>
      <xdr:col>9</xdr:col>
      <xdr:colOff>241300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B7AAA-9761-6F7F-482C-6819D5CD6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2</xdr:row>
      <xdr:rowOff>311150</xdr:rowOff>
    </xdr:from>
    <xdr:to>
      <xdr:col>10</xdr:col>
      <xdr:colOff>368300</xdr:colOff>
      <xdr:row>20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168BF-86EE-C2DB-9870-936F0F7F7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15</xdr:row>
      <xdr:rowOff>139700</xdr:rowOff>
    </xdr:from>
    <xdr:to>
      <xdr:col>4</xdr:col>
      <xdr:colOff>419100</xdr:colOff>
      <xdr:row>16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81E8C9-174C-6AA4-369F-A99A46E19C60}"/>
            </a:ext>
          </a:extLst>
        </xdr:cNvPr>
        <xdr:cNvSpPr/>
      </xdr:nvSpPr>
      <xdr:spPr>
        <a:xfrm>
          <a:off x="6007100" y="2984500"/>
          <a:ext cx="1333500" cy="203200"/>
        </a:xfrm>
        <a:prstGeom prst="rect">
          <a:avLst/>
        </a:prstGeom>
        <a:noFill/>
        <a:ln w="38100" cap="rnd" cmpd="sng">
          <a:solidFill>
            <a:schemeClr val="accent2"/>
          </a:solidFill>
          <a:prstDash val="solid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876300</xdr:colOff>
      <xdr:row>22</xdr:row>
      <xdr:rowOff>12700</xdr:rowOff>
    </xdr:from>
    <xdr:to>
      <xdr:col>3</xdr:col>
      <xdr:colOff>279400</xdr:colOff>
      <xdr:row>44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BC5B8-1C89-1877-784C-33E10DFA1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" y="4102100"/>
              <a:ext cx="5664200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19" sqref="A19"/>
    </sheetView>
  </sheetViews>
  <sheetFormatPr baseColWidth="10" defaultColWidth="14.5" defaultRowHeight="15" customHeight="1" x14ac:dyDescent="0.2"/>
  <cols>
    <col min="1" max="1" width="82.83203125" customWidth="1"/>
    <col min="2" max="26" width="8.6640625" customWidth="1"/>
  </cols>
  <sheetData>
    <row r="1" spans="1:26" ht="14.25" customHeight="1" x14ac:dyDescent="0.3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9.75" customHeight="1" x14ac:dyDescent="0.2">
      <c r="A2" s="6"/>
    </row>
    <row r="3" spans="1:26" ht="14.25" customHeight="1" x14ac:dyDescent="0.2">
      <c r="A3" s="8" t="s">
        <v>3</v>
      </c>
    </row>
    <row r="4" spans="1:26" ht="14.25" customHeight="1" x14ac:dyDescent="0.2">
      <c r="A4" s="9" t="s">
        <v>5</v>
      </c>
    </row>
    <row r="5" spans="1:26" ht="14.25" customHeight="1" x14ac:dyDescent="0.2">
      <c r="A5" s="9" t="s">
        <v>6</v>
      </c>
    </row>
    <row r="6" spans="1:26" ht="14.25" customHeight="1" x14ac:dyDescent="0.2">
      <c r="A6" s="11"/>
    </row>
    <row r="7" spans="1:26" ht="14.25" customHeight="1" x14ac:dyDescent="0.2">
      <c r="A7" s="8" t="s">
        <v>8</v>
      </c>
    </row>
    <row r="8" spans="1:26" ht="14.25" customHeight="1" x14ac:dyDescent="0.2">
      <c r="A8" s="25" t="s">
        <v>9</v>
      </c>
    </row>
    <row r="9" spans="1:26" ht="14.25" customHeight="1" x14ac:dyDescent="0.2">
      <c r="A9" s="13" t="s">
        <v>11</v>
      </c>
    </row>
    <row r="10" spans="1:26" ht="14.25" customHeight="1" x14ac:dyDescent="0.2">
      <c r="A10" s="13" t="s">
        <v>12</v>
      </c>
    </row>
    <row r="11" spans="1:26" ht="14.25" customHeight="1" x14ac:dyDescent="0.2">
      <c r="A11" s="13" t="s">
        <v>13</v>
      </c>
    </row>
    <row r="12" spans="1:26" ht="14.25" customHeight="1" x14ac:dyDescent="0.2">
      <c r="A12" s="16"/>
    </row>
    <row r="13" spans="1:26" ht="14.25" customHeight="1" x14ac:dyDescent="0.2">
      <c r="A13" s="8" t="s">
        <v>16</v>
      </c>
    </row>
    <row r="14" spans="1:26" ht="14.25" customHeight="1" x14ac:dyDescent="0.2">
      <c r="A14" s="26" t="s">
        <v>17</v>
      </c>
    </row>
    <row r="15" spans="1:26" ht="14.25" customHeight="1" x14ac:dyDescent="0.2">
      <c r="A15" s="26" t="s">
        <v>1</v>
      </c>
    </row>
    <row r="16" spans="1:26" ht="14.25" customHeight="1" x14ac:dyDescent="0.2">
      <c r="A16" s="26" t="s">
        <v>24</v>
      </c>
    </row>
    <row r="17" spans="1:1" ht="14.25" customHeight="1" x14ac:dyDescent="0.2">
      <c r="A17" s="27" t="s">
        <v>26</v>
      </c>
    </row>
    <row r="18" spans="1:1" ht="14.25" customHeight="1" x14ac:dyDescent="0.2">
      <c r="A18" s="26" t="s">
        <v>29</v>
      </c>
    </row>
    <row r="19" spans="1:1" ht="14.25" customHeight="1" x14ac:dyDescent="0.2">
      <c r="A19" s="26" t="s">
        <v>30</v>
      </c>
    </row>
    <row r="20" spans="1:1" ht="14.25" customHeight="1" x14ac:dyDescent="0.2">
      <c r="A20" s="22"/>
    </row>
    <row r="21" spans="1:1" ht="14.25" customHeight="1" x14ac:dyDescent="0.2"/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A14" location="'Ownership and Purchase Intent'!A1" display="Ownership and purchase interest" xr:uid="{00000000-0004-0000-0000-000000000000}"/>
    <hyperlink ref="A15" location="'Reasons for Purchase'!A1" display="Reasons for purchase" xr:uid="{00000000-0004-0000-0000-000001000000}"/>
    <hyperlink ref="A16" location="'Purchase Influences'!A1" display="Purchase Influences" xr:uid="{00000000-0004-0000-0000-000002000000}"/>
    <hyperlink ref="A17" location="'Mattress Outlet Type'!A1" display="Mattress Outlet Type" xr:uid="{00000000-0004-0000-0000-000003000000}"/>
    <hyperlink ref="A18" location="'Store vs Online Purchase'!A1" display="Store vs Online Purchase" xr:uid="{00000000-0004-0000-0000-000004000000}"/>
    <hyperlink ref="A19" location="'Purchase Factors'!A1" display="Purchase Attributes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showGridLines="0" tabSelected="1" zoomScale="75" workbookViewId="0">
      <selection activeCell="E30" sqref="E30"/>
    </sheetView>
  </sheetViews>
  <sheetFormatPr baseColWidth="10" defaultColWidth="14.5" defaultRowHeight="15" customHeight="1" x14ac:dyDescent="0.2"/>
  <cols>
    <col min="1" max="1" width="60" customWidth="1"/>
    <col min="2" max="7" width="13.33203125" customWidth="1"/>
    <col min="8" max="8" width="35.83203125" customWidth="1"/>
    <col min="9" max="9" width="16" customWidth="1"/>
    <col min="10" max="10" width="13.1640625" customWidth="1"/>
    <col min="11" max="11" width="13.83203125" customWidth="1"/>
    <col min="12" max="12" width="12.6640625" customWidth="1"/>
    <col min="13" max="13" width="12.5" customWidth="1"/>
    <col min="14" max="27" width="8.6640625" customWidth="1"/>
  </cols>
  <sheetData>
    <row r="1" spans="1:13" ht="14.25" customHeight="1" x14ac:dyDescent="0.2">
      <c r="A1" s="1" t="s">
        <v>0</v>
      </c>
      <c r="B1" s="2"/>
      <c r="C1" s="2"/>
      <c r="D1" s="14"/>
      <c r="E1" s="2"/>
      <c r="F1" s="14" t="s">
        <v>14</v>
      </c>
      <c r="G1" s="32"/>
    </row>
    <row r="2" spans="1:13" ht="14.25" customHeight="1" x14ac:dyDescent="0.2">
      <c r="A2" s="7"/>
      <c r="B2" s="2"/>
      <c r="C2" s="2"/>
      <c r="D2" s="2"/>
      <c r="E2" s="2"/>
      <c r="F2" s="2"/>
      <c r="G2" s="33"/>
    </row>
    <row r="3" spans="1:13" ht="14.25" customHeight="1" x14ac:dyDescent="0.2">
      <c r="A3" s="47" t="s">
        <v>15</v>
      </c>
      <c r="B3" s="48"/>
      <c r="C3" s="48"/>
      <c r="D3" s="48"/>
      <c r="E3" s="48"/>
      <c r="F3" s="49"/>
      <c r="G3" s="34"/>
    </row>
    <row r="4" spans="1:13" ht="14.25" customHeight="1" x14ac:dyDescent="0.2">
      <c r="A4" s="7"/>
      <c r="B4" s="2"/>
      <c r="C4" s="2"/>
      <c r="D4" s="2"/>
      <c r="E4" s="2"/>
      <c r="F4" s="2"/>
      <c r="G4" s="33"/>
    </row>
    <row r="5" spans="1:13" ht="14.25" customHeight="1" x14ac:dyDescent="0.2">
      <c r="A5" s="18" t="s">
        <v>25</v>
      </c>
      <c r="B5" s="2"/>
      <c r="C5" s="2"/>
      <c r="D5" s="2"/>
      <c r="E5" s="2"/>
      <c r="F5" s="2"/>
      <c r="G5" s="33"/>
    </row>
    <row r="6" spans="1:13" ht="14.25" customHeight="1" thickBot="1" x14ac:dyDescent="0.25">
      <c r="A6" s="18"/>
      <c r="B6" s="19"/>
      <c r="C6" s="20"/>
      <c r="D6" s="20"/>
      <c r="E6" s="20"/>
      <c r="F6" s="20"/>
      <c r="G6" s="33"/>
    </row>
    <row r="7" spans="1:13" ht="63.75" customHeight="1" x14ac:dyDescent="0.2">
      <c r="A7" s="15"/>
      <c r="B7" s="21" t="s">
        <v>27</v>
      </c>
      <c r="C7" s="21" t="s">
        <v>31</v>
      </c>
      <c r="D7" s="21" t="s">
        <v>32</v>
      </c>
      <c r="E7" s="21" t="s">
        <v>33</v>
      </c>
      <c r="F7" s="21" t="s">
        <v>34</v>
      </c>
      <c r="G7" s="35"/>
      <c r="H7" s="37"/>
      <c r="I7" s="38" t="s">
        <v>27</v>
      </c>
      <c r="J7" s="38" t="s">
        <v>31</v>
      </c>
      <c r="K7" s="38" t="s">
        <v>32</v>
      </c>
      <c r="L7" s="38" t="s">
        <v>33</v>
      </c>
      <c r="M7" s="39" t="s">
        <v>34</v>
      </c>
    </row>
    <row r="8" spans="1:13" ht="14.25" customHeight="1" x14ac:dyDescent="0.2">
      <c r="A8" s="15" t="s">
        <v>35</v>
      </c>
      <c r="B8" s="17">
        <f>699/1500</f>
        <v>0.46600000000000003</v>
      </c>
      <c r="C8" s="17">
        <f>394/1500</f>
        <v>0.26266666666666666</v>
      </c>
      <c r="D8" s="17">
        <f>305/1500</f>
        <v>0.20333333333333334</v>
      </c>
      <c r="E8" s="17">
        <f>118/1500</f>
        <v>7.8666666666666663E-2</v>
      </c>
      <c r="F8" s="17">
        <f>695/1500</f>
        <v>0.46333333333333332</v>
      </c>
      <c r="G8" s="36"/>
      <c r="H8" s="40" t="s">
        <v>35</v>
      </c>
      <c r="I8" s="31">
        <f t="shared" ref="I8:M12" si="0">B8*1500</f>
        <v>699</v>
      </c>
      <c r="J8" s="31">
        <f t="shared" si="0"/>
        <v>394</v>
      </c>
      <c r="K8" s="31">
        <f t="shared" si="0"/>
        <v>305</v>
      </c>
      <c r="L8" s="31">
        <f t="shared" si="0"/>
        <v>118</v>
      </c>
      <c r="M8" s="41">
        <f t="shared" si="0"/>
        <v>695</v>
      </c>
    </row>
    <row r="9" spans="1:13" ht="14.25" customHeight="1" x14ac:dyDescent="0.2">
      <c r="A9" s="46" t="s">
        <v>89</v>
      </c>
      <c r="B9" s="17">
        <f>412/1500</f>
        <v>0.27466666666666667</v>
      </c>
      <c r="C9" s="17">
        <f>157/1500</f>
        <v>0.10466666666666667</v>
      </c>
      <c r="D9" s="17">
        <f>255/1500</f>
        <v>0.17</v>
      </c>
      <c r="E9" s="17">
        <f>184/1500</f>
        <v>0.12266666666666666</v>
      </c>
      <c r="F9" s="17">
        <f>934/1500</f>
        <v>0.6226666666666667</v>
      </c>
      <c r="G9" s="36"/>
      <c r="H9" s="40" t="s">
        <v>36</v>
      </c>
      <c r="I9" s="31">
        <f t="shared" si="0"/>
        <v>412</v>
      </c>
      <c r="J9" s="31">
        <f t="shared" si="0"/>
        <v>157</v>
      </c>
      <c r="K9" s="31">
        <f t="shared" si="0"/>
        <v>255.00000000000003</v>
      </c>
      <c r="L9" s="31">
        <f t="shared" si="0"/>
        <v>184</v>
      </c>
      <c r="M9" s="41">
        <f t="shared" si="0"/>
        <v>934</v>
      </c>
    </row>
    <row r="10" spans="1:13" ht="14.25" customHeight="1" x14ac:dyDescent="0.2">
      <c r="A10" s="15" t="s">
        <v>37</v>
      </c>
      <c r="B10" s="17">
        <f>288/1500</f>
        <v>0.192</v>
      </c>
      <c r="C10" s="17">
        <f>139/1500</f>
        <v>9.2666666666666661E-2</v>
      </c>
      <c r="D10" s="17">
        <f>149/1500</f>
        <v>9.9333333333333329E-2</v>
      </c>
      <c r="E10" s="17">
        <f>99/1500</f>
        <v>6.6000000000000003E-2</v>
      </c>
      <c r="F10" s="17">
        <f>1124/1500</f>
        <v>0.7493333333333333</v>
      </c>
      <c r="G10" s="36"/>
      <c r="H10" s="40" t="s">
        <v>37</v>
      </c>
      <c r="I10" s="31">
        <f t="shared" si="0"/>
        <v>288</v>
      </c>
      <c r="J10" s="31">
        <f t="shared" si="0"/>
        <v>139</v>
      </c>
      <c r="K10" s="31">
        <f t="shared" si="0"/>
        <v>149</v>
      </c>
      <c r="L10" s="31">
        <f t="shared" si="0"/>
        <v>99</v>
      </c>
      <c r="M10" s="41">
        <f t="shared" si="0"/>
        <v>1124</v>
      </c>
    </row>
    <row r="11" spans="1:13" ht="14.25" customHeight="1" x14ac:dyDescent="0.2">
      <c r="A11" s="46" t="s">
        <v>90</v>
      </c>
      <c r="B11" s="17">
        <f>354/1500</f>
        <v>0.23599999999999999</v>
      </c>
      <c r="C11" s="17">
        <f>113/1500</f>
        <v>7.5333333333333335E-2</v>
      </c>
      <c r="D11" s="17">
        <f>243/1500</f>
        <v>0.16200000000000001</v>
      </c>
      <c r="E11" s="17">
        <f>177/1500</f>
        <v>0.11799999999999999</v>
      </c>
      <c r="F11" s="17">
        <f>1108/1500</f>
        <v>0.73866666666666669</v>
      </c>
      <c r="G11" s="36"/>
      <c r="H11" s="40" t="s">
        <v>38</v>
      </c>
      <c r="I11" s="31">
        <f t="shared" si="0"/>
        <v>354</v>
      </c>
      <c r="J11" s="31">
        <f t="shared" si="0"/>
        <v>113</v>
      </c>
      <c r="K11" s="31">
        <f t="shared" si="0"/>
        <v>243</v>
      </c>
      <c r="L11" s="31">
        <f t="shared" si="0"/>
        <v>177</v>
      </c>
      <c r="M11" s="41">
        <f t="shared" si="0"/>
        <v>1108</v>
      </c>
    </row>
    <row r="12" spans="1:13" ht="14.25" customHeight="1" x14ac:dyDescent="0.2">
      <c r="A12" s="15" t="s">
        <v>39</v>
      </c>
      <c r="B12" s="17">
        <f>101/1500</f>
        <v>6.7333333333333328E-2</v>
      </c>
      <c r="C12" s="17">
        <f>62/1500</f>
        <v>4.1333333333333333E-2</v>
      </c>
      <c r="D12" s="17">
        <f>39/1500</f>
        <v>2.5999999999999999E-2</v>
      </c>
      <c r="E12" s="17">
        <f>47/1500</f>
        <v>3.1333333333333331E-2</v>
      </c>
      <c r="F12" s="17">
        <f>1381/1500</f>
        <v>0.92066666666666663</v>
      </c>
      <c r="G12" s="36"/>
      <c r="H12" s="40" t="s">
        <v>39</v>
      </c>
      <c r="I12" s="31">
        <f t="shared" si="0"/>
        <v>100.99999999999999</v>
      </c>
      <c r="J12" s="31">
        <f t="shared" si="0"/>
        <v>62</v>
      </c>
      <c r="K12" s="31">
        <f t="shared" si="0"/>
        <v>39</v>
      </c>
      <c r="L12" s="31">
        <f t="shared" si="0"/>
        <v>47</v>
      </c>
      <c r="M12" s="41">
        <f t="shared" si="0"/>
        <v>1381</v>
      </c>
    </row>
    <row r="13" spans="1:13" ht="14.25" customHeight="1" thickBot="1" x14ac:dyDescent="0.25">
      <c r="A13" s="18"/>
      <c r="B13" s="19">
        <f>SUM(B8:B12)</f>
        <v>1.236</v>
      </c>
      <c r="C13" s="23">
        <f>SUM(C8:C12)</f>
        <v>0.57666666666666666</v>
      </c>
      <c r="D13" s="23">
        <f>SUM(D8:D12)</f>
        <v>0.66066666666666674</v>
      </c>
      <c r="E13" s="29">
        <f>SUM(E8:E12)</f>
        <v>0.41666666666666663</v>
      </c>
      <c r="F13" s="23"/>
      <c r="G13" s="33"/>
      <c r="H13" s="42" t="s">
        <v>78</v>
      </c>
      <c r="I13" s="43">
        <f>SUM(I8:I12)</f>
        <v>1854</v>
      </c>
      <c r="J13" s="43">
        <f t="shared" ref="J13:L13" si="1">SUM(J8:J12)</f>
        <v>865</v>
      </c>
      <c r="K13" s="43">
        <f t="shared" si="1"/>
        <v>991</v>
      </c>
      <c r="L13" s="43">
        <f t="shared" si="1"/>
        <v>625</v>
      </c>
      <c r="M13" s="44"/>
    </row>
    <row r="14" spans="1:13" ht="14.25" customHeight="1" x14ac:dyDescent="0.2">
      <c r="A14" s="24" t="s">
        <v>40</v>
      </c>
      <c r="B14" s="19"/>
      <c r="C14" s="23"/>
      <c r="D14" s="23"/>
      <c r="E14" s="29"/>
      <c r="F14" s="23"/>
      <c r="G14" s="33"/>
    </row>
    <row r="15" spans="1:13" ht="14.25" customHeight="1" x14ac:dyDescent="0.2">
      <c r="I15" s="30" t="s">
        <v>79</v>
      </c>
      <c r="J15">
        <f>($I8*$J$13)/$I$13</f>
        <v>326.12459546925567</v>
      </c>
      <c r="K15">
        <f>(I8*K13)/$I$13</f>
        <v>373.62944983818772</v>
      </c>
    </row>
    <row r="16" spans="1:13" ht="14.25" customHeight="1" x14ac:dyDescent="0.2">
      <c r="C16" s="30" t="s">
        <v>77</v>
      </c>
      <c r="J16">
        <f>($I9*$J$13)/$I$13</f>
        <v>192.22222222222223</v>
      </c>
      <c r="K16">
        <f>(I9*K$13)/$I$13</f>
        <v>220.22222222222223</v>
      </c>
    </row>
    <row r="17" spans="3:11" ht="14.25" customHeight="1" x14ac:dyDescent="0.2">
      <c r="C17" s="30" t="s">
        <v>76</v>
      </c>
      <c r="J17">
        <f t="shared" ref="J17:J19" si="2">($I10*$J$13)/$I$13</f>
        <v>134.36893203883494</v>
      </c>
      <c r="K17">
        <f>(I10*K13)/$I$13</f>
        <v>153.94174757281553</v>
      </c>
    </row>
    <row r="18" spans="3:11" ht="14.25" customHeight="1" x14ac:dyDescent="0.2">
      <c r="J18">
        <f>($I11*$J$13)/$I$13</f>
        <v>165.16181229773463</v>
      </c>
      <c r="K18">
        <f>(I11*K13)/$I$13</f>
        <v>189.2200647249191</v>
      </c>
    </row>
    <row r="19" spans="3:11" ht="14.25" customHeight="1" x14ac:dyDescent="0.2">
      <c r="J19">
        <f t="shared" si="2"/>
        <v>47.122437971952529</v>
      </c>
      <c r="K19">
        <f>(I12*K13)/$I$13</f>
        <v>53.986515641855441</v>
      </c>
    </row>
    <row r="20" spans="3:11" ht="14.25" customHeight="1" x14ac:dyDescent="0.2"/>
    <row r="21" spans="3:11" ht="14.25" customHeight="1" x14ac:dyDescent="0.2">
      <c r="J21">
        <f>(J8-J15)^2/J15</f>
        <v>14.126719064482534</v>
      </c>
      <c r="K21">
        <f>(K8-K15)^2/K15</f>
        <v>12.606076386998248</v>
      </c>
    </row>
    <row r="22" spans="3:11" ht="14.25" customHeight="1" x14ac:dyDescent="0.2">
      <c r="J22">
        <f t="shared" ref="J22:K22" si="3">(J9-J16)^2/J16</f>
        <v>6.4540141297366747</v>
      </c>
      <c r="K22">
        <f t="shared" si="3"/>
        <v>5.4921515865007358</v>
      </c>
    </row>
    <row r="23" spans="3:11" ht="14.25" customHeight="1" x14ac:dyDescent="0.2">
      <c r="J23">
        <f t="shared" ref="J23:K23" si="4">(J10-J17)^2/J17</f>
        <v>0.15961122958639723</v>
      </c>
      <c r="K23">
        <f t="shared" si="4"/>
        <v>0.15863707836548324</v>
      </c>
    </row>
    <row r="24" spans="3:11" ht="14.25" customHeight="1" x14ac:dyDescent="0.2">
      <c r="J24">
        <f t="shared" ref="J24:K24" si="5">(J11-J18)^2/J18</f>
        <v>16.473872648474316</v>
      </c>
      <c r="K24">
        <f t="shared" si="5"/>
        <v>15.285278769968604</v>
      </c>
    </row>
    <row r="25" spans="3:11" ht="14.25" customHeight="1" x14ac:dyDescent="0.2">
      <c r="J25">
        <f t="shared" ref="J25:K25" si="6">(J12-J19)^2/J19</f>
        <v>4.6971646931795759</v>
      </c>
      <c r="K25">
        <f t="shared" si="6"/>
        <v>4.1602175730980138</v>
      </c>
    </row>
    <row r="26" spans="3:11" ht="14.25" customHeight="1" x14ac:dyDescent="0.2"/>
    <row r="27" spans="3:11" ht="14.25" customHeight="1" x14ac:dyDescent="0.2">
      <c r="J27">
        <f>SUM(J21:K25)</f>
        <v>79.61374316039057</v>
      </c>
    </row>
    <row r="28" spans="3:11" ht="14.25" customHeight="1" x14ac:dyDescent="0.2">
      <c r="J28" s="45">
        <f>_xlfn.CHISQ.DIST.RT(J27, I13-1)</f>
        <v>1</v>
      </c>
    </row>
    <row r="29" spans="3:11" ht="14.25" customHeight="1" x14ac:dyDescent="0.2"/>
    <row r="30" spans="3:11" ht="14.25" customHeight="1" x14ac:dyDescent="0.2"/>
    <row r="31" spans="3:11" ht="14.25" customHeight="1" x14ac:dyDescent="0.2"/>
    <row r="32" spans="3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3:F3"/>
  </mergeCells>
  <hyperlinks>
    <hyperlink ref="F1" location="null!A1" display="Back to Front Page" xr:uid="{00000000-0004-0000-0100-000000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showGridLines="0" topLeftCell="A4" workbookViewId="0">
      <selection activeCell="F34" sqref="F34"/>
    </sheetView>
  </sheetViews>
  <sheetFormatPr baseColWidth="10" defaultColWidth="14.5" defaultRowHeight="15" customHeight="1" x14ac:dyDescent="0.2"/>
  <cols>
    <col min="1" max="1" width="64.33203125" customWidth="1"/>
    <col min="2" max="2" width="11.6640625" customWidth="1"/>
    <col min="3" max="26" width="8.6640625" customWidth="1"/>
  </cols>
  <sheetData>
    <row r="1" spans="1:2" ht="14.25" customHeight="1" x14ac:dyDescent="0.2">
      <c r="A1" s="1" t="s">
        <v>1</v>
      </c>
      <c r="B1" s="5"/>
    </row>
    <row r="2" spans="1:2" ht="14.25" customHeight="1" x14ac:dyDescent="0.2">
      <c r="A2" s="7"/>
      <c r="B2" s="5"/>
    </row>
    <row r="3" spans="1:2" ht="28.5" customHeight="1" x14ac:dyDescent="0.2">
      <c r="A3" s="50" t="s">
        <v>4</v>
      </c>
      <c r="B3" s="51"/>
    </row>
    <row r="4" spans="1:2" ht="14.25" customHeight="1" x14ac:dyDescent="0.2">
      <c r="A4" s="7"/>
      <c r="B4" s="10"/>
    </row>
    <row r="5" spans="1:2" ht="28.5" customHeight="1" x14ac:dyDescent="0.2">
      <c r="A5" s="52" t="s">
        <v>7</v>
      </c>
      <c r="B5" s="51"/>
    </row>
    <row r="6" spans="1:2" ht="14.25" customHeight="1" x14ac:dyDescent="0.2">
      <c r="B6" s="5"/>
    </row>
    <row r="7" spans="1:2" ht="14.25" customHeight="1" x14ac:dyDescent="0.2">
      <c r="A7" s="15" t="s">
        <v>10</v>
      </c>
      <c r="B7" s="17">
        <f>485/947</f>
        <v>0.5121436114044351</v>
      </c>
    </row>
    <row r="8" spans="1:2" ht="14.25" customHeight="1" x14ac:dyDescent="0.2">
      <c r="A8" s="15" t="s">
        <v>18</v>
      </c>
      <c r="B8" s="17">
        <f>414/947</f>
        <v>0.43717001055966209</v>
      </c>
    </row>
    <row r="9" spans="1:2" ht="14.25" customHeight="1" x14ac:dyDescent="0.2">
      <c r="A9" s="15" t="s">
        <v>19</v>
      </c>
      <c r="B9" s="17">
        <f>202/947</f>
        <v>0.21330517423442449</v>
      </c>
    </row>
    <row r="10" spans="1:2" ht="14.25" customHeight="1" x14ac:dyDescent="0.2">
      <c r="A10" s="15" t="s">
        <v>20</v>
      </c>
      <c r="B10" s="17">
        <f>200/947</f>
        <v>0.21119324181626187</v>
      </c>
    </row>
    <row r="11" spans="1:2" ht="14.25" customHeight="1" x14ac:dyDescent="0.2">
      <c r="A11" s="15" t="s">
        <v>21</v>
      </c>
      <c r="B11" s="17">
        <f>194/947</f>
        <v>0.20485744456177402</v>
      </c>
    </row>
    <row r="12" spans="1:2" ht="14.25" customHeight="1" x14ac:dyDescent="0.2">
      <c r="A12" s="15" t="s">
        <v>22</v>
      </c>
      <c r="B12" s="17">
        <f>179/947</f>
        <v>0.18901795142555439</v>
      </c>
    </row>
    <row r="13" spans="1:2" ht="14.25" customHeight="1" x14ac:dyDescent="0.2">
      <c r="A13" s="15" t="s">
        <v>23</v>
      </c>
      <c r="B13" s="17">
        <f>149/947</f>
        <v>0.1573389651531151</v>
      </c>
    </row>
    <row r="14" spans="1:2" ht="14.25" customHeight="1" x14ac:dyDescent="0.2">
      <c r="A14" s="46" t="s">
        <v>91</v>
      </c>
      <c r="B14" s="17">
        <f>121/947</f>
        <v>0.12777191129883844</v>
      </c>
    </row>
    <row r="15" spans="1:2" ht="14.25" customHeight="1" x14ac:dyDescent="0.2">
      <c r="A15" s="46" t="s">
        <v>92</v>
      </c>
      <c r="B15" s="17">
        <f>117/947</f>
        <v>0.1235480464625132</v>
      </c>
    </row>
    <row r="16" spans="1:2" ht="14.25" customHeight="1" x14ac:dyDescent="0.2">
      <c r="A16" s="46" t="s">
        <v>93</v>
      </c>
      <c r="B16" s="17">
        <f>95/947</f>
        <v>0.1003167898627244</v>
      </c>
    </row>
    <row r="17" spans="1:2" ht="14.25" customHeight="1" x14ac:dyDescent="0.2">
      <c r="A17" s="46" t="s">
        <v>94</v>
      </c>
      <c r="B17" s="17">
        <f>71/947</f>
        <v>7.4973600844772961E-2</v>
      </c>
    </row>
    <row r="18" spans="1:2" ht="14.25" customHeight="1" x14ac:dyDescent="0.2">
      <c r="A18" s="15" t="s">
        <v>28</v>
      </c>
      <c r="B18" s="17">
        <f>17/947</f>
        <v>1.7951425554382259E-2</v>
      </c>
    </row>
    <row r="19" spans="1:2" ht="14.25" customHeight="1" x14ac:dyDescent="0.2">
      <c r="B19" s="28"/>
    </row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3:B3"/>
    <mergeCell ref="A5:B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showGridLines="0" topLeftCell="A2" workbookViewId="0">
      <selection activeCell="G32" sqref="G32"/>
    </sheetView>
  </sheetViews>
  <sheetFormatPr baseColWidth="10" defaultColWidth="14.5" defaultRowHeight="15" customHeight="1" x14ac:dyDescent="0.2"/>
  <cols>
    <col min="1" max="1" width="54.1640625" customWidth="1"/>
    <col min="2" max="2" width="12.33203125" customWidth="1"/>
    <col min="3" max="26" width="8.6640625" customWidth="1"/>
  </cols>
  <sheetData>
    <row r="1" spans="1:2" ht="14.25" customHeight="1" x14ac:dyDescent="0.2">
      <c r="A1" s="1" t="s">
        <v>24</v>
      </c>
      <c r="B1" s="5"/>
    </row>
    <row r="2" spans="1:2" ht="14.25" customHeight="1" x14ac:dyDescent="0.2">
      <c r="A2" s="7"/>
      <c r="B2" s="5"/>
    </row>
    <row r="3" spans="1:2" ht="28.5" customHeight="1" x14ac:dyDescent="0.2">
      <c r="A3" s="50" t="s">
        <v>41</v>
      </c>
      <c r="B3" s="51"/>
    </row>
    <row r="4" spans="1:2" ht="14.25" customHeight="1" x14ac:dyDescent="0.2">
      <c r="A4" s="7"/>
      <c r="B4" s="5"/>
    </row>
    <row r="5" spans="1:2" ht="28.5" customHeight="1" x14ac:dyDescent="0.2">
      <c r="A5" s="52" t="s">
        <v>7</v>
      </c>
      <c r="B5" s="51"/>
    </row>
    <row r="6" spans="1:2" ht="14.25" customHeight="1" x14ac:dyDescent="0.2">
      <c r="B6" s="5"/>
    </row>
    <row r="7" spans="1:2" ht="14.25" customHeight="1" x14ac:dyDescent="0.2">
      <c r="A7" s="15" t="s">
        <v>44</v>
      </c>
      <c r="B7" s="17">
        <f>455/947</f>
        <v>0.48046462513199578</v>
      </c>
    </row>
    <row r="8" spans="1:2" ht="14.25" customHeight="1" x14ac:dyDescent="0.2">
      <c r="A8" s="15" t="s">
        <v>46</v>
      </c>
      <c r="B8" s="17">
        <f>354/947</f>
        <v>0.37381203801478352</v>
      </c>
    </row>
    <row r="9" spans="1:2" ht="14.25" customHeight="1" x14ac:dyDescent="0.2">
      <c r="A9" s="15" t="s">
        <v>48</v>
      </c>
      <c r="B9" s="17">
        <f>339/947</f>
        <v>0.35797254487856389</v>
      </c>
    </row>
    <row r="10" spans="1:2" ht="14.25" customHeight="1" x14ac:dyDescent="0.2">
      <c r="A10" s="15" t="s">
        <v>49</v>
      </c>
      <c r="B10" s="17">
        <f>327/947</f>
        <v>0.34530095036958819</v>
      </c>
    </row>
    <row r="11" spans="1:2" ht="14.25" customHeight="1" x14ac:dyDescent="0.2">
      <c r="A11" s="15" t="s">
        <v>50</v>
      </c>
      <c r="B11" s="17">
        <f>219/947</f>
        <v>0.23125659978880675</v>
      </c>
    </row>
    <row r="12" spans="1:2" ht="14.25" customHeight="1" x14ac:dyDescent="0.2">
      <c r="A12" s="15" t="s">
        <v>51</v>
      </c>
      <c r="B12" s="17">
        <f>209/947</f>
        <v>0.22069693769799367</v>
      </c>
    </row>
    <row r="13" spans="1:2" ht="14.25" customHeight="1" x14ac:dyDescent="0.2">
      <c r="A13" s="46" t="s">
        <v>97</v>
      </c>
      <c r="B13" s="17">
        <f>129/947</f>
        <v>0.13621964097148892</v>
      </c>
    </row>
    <row r="14" spans="1:2" ht="14.25" customHeight="1" x14ac:dyDescent="0.2">
      <c r="A14" s="15" t="s">
        <v>54</v>
      </c>
      <c r="B14" s="17">
        <f>91/947</f>
        <v>9.6092925026399156E-2</v>
      </c>
    </row>
    <row r="15" spans="1:2" ht="14.25" customHeight="1" x14ac:dyDescent="0.2">
      <c r="A15" s="46" t="s">
        <v>96</v>
      </c>
      <c r="B15" s="17">
        <f>86/947</f>
        <v>9.0813093980992604E-2</v>
      </c>
    </row>
    <row r="16" spans="1:2" ht="14.25" customHeight="1" x14ac:dyDescent="0.2">
      <c r="A16" s="46" t="s">
        <v>95</v>
      </c>
      <c r="B16" s="17">
        <f>76/947</f>
        <v>8.0253431890179514E-2</v>
      </c>
    </row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3:B3"/>
    <mergeCell ref="A5:B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>
      <selection activeCell="C33" sqref="C33"/>
    </sheetView>
  </sheetViews>
  <sheetFormatPr baseColWidth="10" defaultColWidth="14.5" defaultRowHeight="15" customHeight="1" x14ac:dyDescent="0.2"/>
  <cols>
    <col min="1" max="1" width="57.5" customWidth="1"/>
    <col min="2" max="2" width="11.6640625" customWidth="1"/>
    <col min="3" max="26" width="8.6640625" customWidth="1"/>
  </cols>
  <sheetData>
    <row r="1" spans="1:2" ht="14.25" customHeight="1" x14ac:dyDescent="0.2">
      <c r="A1" s="1" t="s">
        <v>26</v>
      </c>
      <c r="B1" s="5"/>
    </row>
    <row r="2" spans="1:2" ht="14.25" customHeight="1" x14ac:dyDescent="0.2">
      <c r="A2" s="7"/>
      <c r="B2" s="5"/>
    </row>
    <row r="3" spans="1:2" ht="14.25" customHeight="1" x14ac:dyDescent="0.2">
      <c r="A3" s="50" t="s">
        <v>42</v>
      </c>
      <c r="B3" s="51"/>
    </row>
    <row r="4" spans="1:2" ht="14.25" customHeight="1" x14ac:dyDescent="0.2">
      <c r="A4" s="7"/>
      <c r="B4" s="5"/>
    </row>
    <row r="5" spans="1:2" ht="14.25" customHeight="1" x14ac:dyDescent="0.2">
      <c r="A5" s="52" t="s">
        <v>43</v>
      </c>
      <c r="B5" s="51"/>
    </row>
    <row r="6" spans="1:2" ht="14.25" customHeight="1" x14ac:dyDescent="0.2">
      <c r="B6" s="5"/>
    </row>
    <row r="7" spans="1:2" ht="14.25" customHeight="1" x14ac:dyDescent="0.2">
      <c r="A7" s="46" t="s">
        <v>80</v>
      </c>
      <c r="B7" s="17">
        <f>197/819</f>
        <v>0.24053724053724054</v>
      </c>
    </row>
    <row r="8" spans="1:2" ht="14.25" customHeight="1" x14ac:dyDescent="0.2">
      <c r="A8" s="46" t="s">
        <v>81</v>
      </c>
      <c r="B8" s="17">
        <f>151/819</f>
        <v>0.18437118437118438</v>
      </c>
    </row>
    <row r="9" spans="1:2" ht="14.25" customHeight="1" x14ac:dyDescent="0.2">
      <c r="A9" s="46" t="s">
        <v>82</v>
      </c>
      <c r="B9" s="17">
        <f>90/819</f>
        <v>0.10989010989010989</v>
      </c>
    </row>
    <row r="10" spans="1:2" ht="14.25" customHeight="1" x14ac:dyDescent="0.2">
      <c r="A10" s="46" t="s">
        <v>83</v>
      </c>
      <c r="B10" s="17">
        <f>84/819</f>
        <v>0.10256410256410256</v>
      </c>
    </row>
    <row r="11" spans="1:2" ht="14.25" customHeight="1" x14ac:dyDescent="0.2">
      <c r="A11" s="46" t="s">
        <v>84</v>
      </c>
      <c r="B11" s="17">
        <f>83/819</f>
        <v>0.10134310134310134</v>
      </c>
    </row>
    <row r="12" spans="1:2" ht="14.25" customHeight="1" x14ac:dyDescent="0.2">
      <c r="A12" s="46" t="s">
        <v>85</v>
      </c>
      <c r="B12" s="17">
        <f>61/819</f>
        <v>7.448107448107448E-2</v>
      </c>
    </row>
    <row r="13" spans="1:2" ht="14.25" customHeight="1" x14ac:dyDescent="0.2">
      <c r="A13" s="15" t="s">
        <v>57</v>
      </c>
      <c r="B13" s="17">
        <f>47/819</f>
        <v>5.7387057387057384E-2</v>
      </c>
    </row>
    <row r="14" spans="1:2" ht="14.25" customHeight="1" x14ac:dyDescent="0.2">
      <c r="A14" s="46" t="s">
        <v>86</v>
      </c>
      <c r="B14" s="17">
        <f>39/819</f>
        <v>4.7619047619047616E-2</v>
      </c>
    </row>
    <row r="15" spans="1:2" ht="14.25" customHeight="1" x14ac:dyDescent="0.2">
      <c r="A15" s="15" t="s">
        <v>28</v>
      </c>
      <c r="B15" s="17">
        <f>67/819</f>
        <v>8.1807081807081808E-2</v>
      </c>
    </row>
    <row r="16" spans="1:2" ht="14.25" customHeight="1" x14ac:dyDescent="0.2">
      <c r="B16" s="28">
        <f>SUM(B7:B15)</f>
        <v>1</v>
      </c>
    </row>
    <row r="17" spans="1:2" ht="14.25" customHeight="1" x14ac:dyDescent="0.2"/>
    <row r="18" spans="1:2" ht="14.25" customHeight="1" x14ac:dyDescent="0.2"/>
    <row r="19" spans="1:2" ht="14.25" customHeight="1" x14ac:dyDescent="0.2"/>
    <row r="20" spans="1:2" ht="14.25" customHeight="1" x14ac:dyDescent="0.2">
      <c r="A20" s="15" t="s">
        <v>45</v>
      </c>
      <c r="B20" s="17">
        <f>197/819</f>
        <v>0.24053724053724054</v>
      </c>
    </row>
    <row r="21" spans="1:2" ht="14.25" customHeight="1" x14ac:dyDescent="0.2">
      <c r="A21" s="15" t="s">
        <v>47</v>
      </c>
      <c r="B21" s="17">
        <f>151/819</f>
        <v>0.18437118437118438</v>
      </c>
    </row>
    <row r="22" spans="1:2" ht="14.25" customHeight="1" x14ac:dyDescent="0.2">
      <c r="A22" s="15" t="s">
        <v>52</v>
      </c>
      <c r="B22" s="17">
        <f>90/819</f>
        <v>0.10989010989010989</v>
      </c>
    </row>
    <row r="23" spans="1:2" ht="14.25" customHeight="1" x14ac:dyDescent="0.2">
      <c r="A23" s="15" t="s">
        <v>53</v>
      </c>
      <c r="B23" s="17">
        <f>84/819</f>
        <v>0.10256410256410256</v>
      </c>
    </row>
    <row r="24" spans="1:2" ht="14.25" customHeight="1" x14ac:dyDescent="0.2">
      <c r="A24" s="15" t="s">
        <v>55</v>
      </c>
      <c r="B24" s="17">
        <f>83/819</f>
        <v>0.10134310134310134</v>
      </c>
    </row>
    <row r="25" spans="1:2" ht="14.25" customHeight="1" x14ac:dyDescent="0.2">
      <c r="A25" s="15" t="s">
        <v>56</v>
      </c>
      <c r="B25" s="17">
        <f>61/819</f>
        <v>7.448107448107448E-2</v>
      </c>
    </row>
    <row r="26" spans="1:2" ht="14.25" customHeight="1" x14ac:dyDescent="0.2">
      <c r="A26" s="15" t="s">
        <v>57</v>
      </c>
      <c r="B26" s="17">
        <f>47/819</f>
        <v>5.7387057387057384E-2</v>
      </c>
    </row>
    <row r="27" spans="1:2" ht="14.25" customHeight="1" x14ac:dyDescent="0.2">
      <c r="A27" s="15" t="s">
        <v>58</v>
      </c>
      <c r="B27" s="17">
        <f>39/819</f>
        <v>4.7619047619047616E-2</v>
      </c>
    </row>
    <row r="28" spans="1:2" ht="14.25" customHeight="1" x14ac:dyDescent="0.2">
      <c r="A28" s="15" t="s">
        <v>28</v>
      </c>
      <c r="B28" s="17">
        <f>67/819</f>
        <v>8.1807081807081808E-2</v>
      </c>
    </row>
    <row r="29" spans="1:2" ht="14.25" customHeight="1" x14ac:dyDescent="0.2">
      <c r="B29" s="28">
        <f>SUM(B20:B28)</f>
        <v>1</v>
      </c>
    </row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3:B3"/>
    <mergeCell ref="A5:B5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showGridLines="0" workbookViewId="0">
      <selection activeCell="L19" sqref="L19"/>
    </sheetView>
  </sheetViews>
  <sheetFormatPr baseColWidth="10" defaultColWidth="14.5" defaultRowHeight="15" customHeight="1" x14ac:dyDescent="0.2"/>
  <cols>
    <col min="1" max="1" width="57" customWidth="1"/>
    <col min="2" max="2" width="10.5" customWidth="1"/>
    <col min="3" max="26" width="8.6640625" customWidth="1"/>
  </cols>
  <sheetData>
    <row r="1" spans="1:2" ht="14.25" customHeight="1" x14ac:dyDescent="0.2">
      <c r="A1" s="1" t="s">
        <v>59</v>
      </c>
      <c r="B1" s="5"/>
    </row>
    <row r="2" spans="1:2" ht="14.25" customHeight="1" x14ac:dyDescent="0.2">
      <c r="A2" s="7"/>
      <c r="B2" s="5"/>
    </row>
    <row r="3" spans="1:2" ht="14.25" customHeight="1" x14ac:dyDescent="0.2">
      <c r="A3" s="50" t="s">
        <v>60</v>
      </c>
      <c r="B3" s="51"/>
    </row>
    <row r="4" spans="1:2" ht="14.25" customHeight="1" x14ac:dyDescent="0.2">
      <c r="A4" s="7"/>
      <c r="B4" s="5"/>
    </row>
    <row r="5" spans="1:2" ht="14.25" customHeight="1" x14ac:dyDescent="0.2">
      <c r="A5" s="52" t="s">
        <v>61</v>
      </c>
      <c r="B5" s="51"/>
    </row>
    <row r="6" spans="1:2" ht="14.25" customHeight="1" x14ac:dyDescent="0.2">
      <c r="B6" s="5"/>
    </row>
    <row r="7" spans="1:2" ht="14.25" customHeight="1" x14ac:dyDescent="0.2">
      <c r="A7" s="15" t="s">
        <v>44</v>
      </c>
      <c r="B7" s="17">
        <f>601/819</f>
        <v>0.73382173382173377</v>
      </c>
    </row>
    <row r="8" spans="1:2" ht="14.25" customHeight="1" x14ac:dyDescent="0.2">
      <c r="A8" s="15" t="s">
        <v>62</v>
      </c>
      <c r="B8" s="17">
        <f>176/819</f>
        <v>0.21489621489621491</v>
      </c>
    </row>
    <row r="9" spans="1:2" ht="14.25" customHeight="1" x14ac:dyDescent="0.2">
      <c r="A9" s="15" t="s">
        <v>28</v>
      </c>
      <c r="B9" s="17">
        <f>42/819</f>
        <v>5.128205128205128E-2</v>
      </c>
    </row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3:B3"/>
    <mergeCell ref="A5:B5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showGridLines="0" topLeftCell="A18" workbookViewId="0">
      <selection activeCell="H26" sqref="H26"/>
    </sheetView>
  </sheetViews>
  <sheetFormatPr baseColWidth="10" defaultColWidth="14.5" defaultRowHeight="15" customHeight="1" x14ac:dyDescent="0.2"/>
  <cols>
    <col min="1" max="1" width="61.6640625" customWidth="1"/>
    <col min="2" max="2" width="11.83203125" customWidth="1"/>
    <col min="3" max="26" width="8.6640625" customWidth="1"/>
  </cols>
  <sheetData>
    <row r="1" spans="1:2" ht="14.25" customHeight="1" x14ac:dyDescent="0.2">
      <c r="A1" s="1" t="s">
        <v>63</v>
      </c>
      <c r="B1" s="5"/>
    </row>
    <row r="2" spans="1:2" ht="14.25" customHeight="1" x14ac:dyDescent="0.2">
      <c r="A2" s="7"/>
      <c r="B2" s="5"/>
    </row>
    <row r="3" spans="1:2" ht="28.5" customHeight="1" x14ac:dyDescent="0.2">
      <c r="A3" s="50" t="s">
        <v>64</v>
      </c>
      <c r="B3" s="51"/>
    </row>
    <row r="4" spans="1:2" ht="14.25" customHeight="1" x14ac:dyDescent="0.2">
      <c r="A4" s="7"/>
      <c r="B4" s="5"/>
    </row>
    <row r="5" spans="1:2" ht="14.25" customHeight="1" x14ac:dyDescent="0.2">
      <c r="A5" s="12" t="s">
        <v>43</v>
      </c>
      <c r="B5" s="5"/>
    </row>
    <row r="6" spans="1:2" ht="14.25" customHeight="1" x14ac:dyDescent="0.2">
      <c r="B6" s="5"/>
    </row>
    <row r="7" spans="1:2" ht="14.25" customHeight="1" x14ac:dyDescent="0.2">
      <c r="A7" s="15" t="s">
        <v>75</v>
      </c>
      <c r="B7" s="17">
        <f>111/819</f>
        <v>0.13553113553113552</v>
      </c>
    </row>
    <row r="8" spans="1:2" ht="14.25" customHeight="1" x14ac:dyDescent="0.2">
      <c r="A8" s="15" t="s">
        <v>74</v>
      </c>
      <c r="B8" s="17">
        <f>174/819</f>
        <v>0.21245421245421245</v>
      </c>
    </row>
    <row r="9" spans="1:2" ht="14.25" customHeight="1" x14ac:dyDescent="0.2">
      <c r="A9" s="46" t="s">
        <v>88</v>
      </c>
      <c r="B9" s="17">
        <f>184/819</f>
        <v>0.22466422466422467</v>
      </c>
    </row>
    <row r="10" spans="1:2" ht="14.25" customHeight="1" x14ac:dyDescent="0.2">
      <c r="A10" s="15" t="s">
        <v>73</v>
      </c>
      <c r="B10" s="17">
        <f>187/819</f>
        <v>0.22832722832722832</v>
      </c>
    </row>
    <row r="11" spans="1:2" ht="14.25" customHeight="1" x14ac:dyDescent="0.2">
      <c r="A11" s="15" t="s">
        <v>72</v>
      </c>
      <c r="B11" s="17">
        <f>231/819</f>
        <v>0.28205128205128205</v>
      </c>
    </row>
    <row r="12" spans="1:2" ht="14.25" customHeight="1" x14ac:dyDescent="0.2">
      <c r="A12" s="15" t="s">
        <v>71</v>
      </c>
      <c r="B12" s="17">
        <f>245/819</f>
        <v>0.29914529914529914</v>
      </c>
    </row>
    <row r="13" spans="1:2" ht="14.25" customHeight="1" x14ac:dyDescent="0.2">
      <c r="A13" s="46" t="s">
        <v>87</v>
      </c>
      <c r="B13" s="17">
        <f>272/819</f>
        <v>0.3321123321123321</v>
      </c>
    </row>
    <row r="14" spans="1:2" ht="14.25" customHeight="1" x14ac:dyDescent="0.2">
      <c r="A14" s="15" t="s">
        <v>70</v>
      </c>
      <c r="B14" s="17">
        <f>330/819</f>
        <v>0.40293040293040294</v>
      </c>
    </row>
    <row r="15" spans="1:2" ht="14.25" customHeight="1" x14ac:dyDescent="0.2">
      <c r="A15" s="15" t="s">
        <v>69</v>
      </c>
      <c r="B15" s="17">
        <f>374/819</f>
        <v>0.45665445665445664</v>
      </c>
    </row>
    <row r="16" spans="1:2" ht="14.25" customHeight="1" x14ac:dyDescent="0.2">
      <c r="A16" s="15" t="s">
        <v>68</v>
      </c>
      <c r="B16" s="17">
        <f>455/819</f>
        <v>0.55555555555555558</v>
      </c>
    </row>
    <row r="17" spans="1:2" ht="14.25" customHeight="1" x14ac:dyDescent="0.2">
      <c r="A17" s="15" t="s">
        <v>67</v>
      </c>
      <c r="B17" s="17">
        <f>488/819</f>
        <v>0.59584859584859584</v>
      </c>
    </row>
    <row r="18" spans="1:2" ht="14.25" customHeight="1" x14ac:dyDescent="0.2">
      <c r="A18" s="15" t="s">
        <v>66</v>
      </c>
      <c r="B18" s="17">
        <f>507/819</f>
        <v>0.61904761904761907</v>
      </c>
    </row>
    <row r="19" spans="1:2" ht="14.25" customHeight="1" x14ac:dyDescent="0.2">
      <c r="A19" s="15" t="s">
        <v>65</v>
      </c>
      <c r="B19" s="17">
        <f>588/819</f>
        <v>0.71794871794871795</v>
      </c>
    </row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ortState xmlns:xlrd2="http://schemas.microsoft.com/office/spreadsheetml/2017/richdata2" ref="A7:B19">
    <sortCondition ref="B7:B19"/>
  </sortState>
  <mergeCells count="1">
    <mergeCell ref="A3:B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Ownership and Purchase Intent</vt:lpstr>
      <vt:lpstr>Reasons for Purchase</vt:lpstr>
      <vt:lpstr>Purchase Influences</vt:lpstr>
      <vt:lpstr>Mattress Outlet Type</vt:lpstr>
      <vt:lpstr>Store vs Online Purchase</vt:lpstr>
      <vt:lpstr>Purchase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Tatarczuk</dc:creator>
  <cp:lastModifiedBy>Microsoft Office User</cp:lastModifiedBy>
  <dcterms:created xsi:type="dcterms:W3CDTF">2019-04-20T14:11:51Z</dcterms:created>
  <dcterms:modified xsi:type="dcterms:W3CDTF">2022-09-25T01:15:58Z</dcterms:modified>
</cp:coreProperties>
</file>